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90" windowWidth="17180" windowHeight="11050" tabRatio="786" activeTab="3"/>
  </bookViews>
  <sheets>
    <sheet name="MAX." sheetId="8" r:id="rId1"/>
    <sheet name="Controsoff. (2)" sheetId="16" r:id="rId2"/>
    <sheet name="Controsoff." sheetId="15" r:id="rId3"/>
    <sheet name="VMC+Controsoff." sheetId="13" r:id="rId4"/>
    <sheet name="PDC+VMC+Controsoff." sheetId="14" r:id="rId5"/>
    <sheet name="PDC+VMC+Controsof." sheetId="7" r:id="rId6"/>
    <sheet name="CAPPOTTO" sheetId="10" r:id="rId7"/>
    <sheet name="PDC" sheetId="11" r:id="rId8"/>
    <sheet name="VMC" sheetId="12" r:id="rId9"/>
    <sheet name="PDC+VMC" sheetId="1" r:id="rId10"/>
    <sheet name="Trasmittanze" sheetId="2" r:id="rId11"/>
    <sheet name="Terreno" sheetId="3" r:id="rId12"/>
  </sheets>
  <calcPr calcId="125725"/>
</workbook>
</file>

<file path=xl/calcChain.xml><?xml version="1.0" encoding="utf-8"?>
<calcChain xmlns="http://schemas.openxmlformats.org/spreadsheetml/2006/main">
  <c r="B73" i="13"/>
  <c r="K52"/>
  <c r="K53" s="1"/>
  <c r="K54" s="1"/>
  <c r="B53"/>
  <c r="B133" i="16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B97"/>
  <c r="B91"/>
  <c r="B96" s="1"/>
  <c r="E96" s="1"/>
  <c r="B89"/>
  <c r="B88"/>
  <c r="D57"/>
  <c r="B59" s="1"/>
  <c r="B57"/>
  <c r="B56"/>
  <c r="B51"/>
  <c r="B65" s="1"/>
  <c r="B50"/>
  <c r="B46"/>
  <c r="B41"/>
  <c r="D35"/>
  <c r="G35" s="1"/>
  <c r="C35"/>
  <c r="G34"/>
  <c r="D34"/>
  <c r="C34"/>
  <c r="B34"/>
  <c r="D33"/>
  <c r="C33"/>
  <c r="D32"/>
  <c r="C32"/>
  <c r="D31"/>
  <c r="C31"/>
  <c r="D30"/>
  <c r="C30"/>
  <c r="B30"/>
  <c r="C29"/>
  <c r="B29"/>
  <c r="B55" s="1"/>
  <c r="H25"/>
  <c r="B130" s="1"/>
  <c r="B134" s="1"/>
  <c r="H24"/>
  <c r="E24"/>
  <c r="H21"/>
  <c r="E21"/>
  <c r="H20"/>
  <c r="B32" s="1"/>
  <c r="E20"/>
  <c r="E19"/>
  <c r="B19"/>
  <c r="B21" s="1"/>
  <c r="B23" s="1"/>
  <c r="B5"/>
  <c r="B42" s="1"/>
  <c r="B44" s="1"/>
  <c r="B45" s="1"/>
  <c r="B85" s="1"/>
  <c r="B52" i="8"/>
  <c r="D24"/>
  <c r="R5" i="2"/>
  <c r="T5" s="1"/>
  <c r="T10" s="1"/>
  <c r="T11" s="1"/>
  <c r="T8"/>
  <c r="T7"/>
  <c r="T6"/>
  <c r="B55" i="15"/>
  <c r="B89"/>
  <c r="F50" i="8"/>
  <c r="B42"/>
  <c r="B35"/>
  <c r="B37" s="1"/>
  <c r="B5"/>
  <c r="B5" i="15"/>
  <c r="B42" s="1"/>
  <c r="B44" s="1"/>
  <c r="D34" i="8"/>
  <c r="C23"/>
  <c r="E15"/>
  <c r="B41" i="15"/>
  <c r="B34" i="8"/>
  <c r="B38" i="13"/>
  <c r="B117" i="15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133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B56"/>
  <c r="B57" s="1"/>
  <c r="D57" s="1"/>
  <c r="B51"/>
  <c r="B65" s="1"/>
  <c r="B50"/>
  <c r="B46"/>
  <c r="D35"/>
  <c r="C35"/>
  <c r="D34"/>
  <c r="C34"/>
  <c r="D33"/>
  <c r="C33"/>
  <c r="C32"/>
  <c r="D31"/>
  <c r="C31"/>
  <c r="C30"/>
  <c r="C29"/>
  <c r="H24"/>
  <c r="H25" s="1"/>
  <c r="B130" s="1"/>
  <c r="E24"/>
  <c r="H21"/>
  <c r="H20" s="1"/>
  <c r="B32" s="1"/>
  <c r="E21"/>
  <c r="E19"/>
  <c r="E20" s="1"/>
  <c r="B30" s="1"/>
  <c r="B19"/>
  <c r="B21" s="1"/>
  <c r="B23" s="1"/>
  <c r="B79" i="14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78"/>
  <c r="B81" i="13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80"/>
  <c r="B72" i="14"/>
  <c r="B60"/>
  <c r="B121"/>
  <c r="B118"/>
  <c r="B114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79"/>
  <c r="B44"/>
  <c r="B45" s="1"/>
  <c r="D45" s="1"/>
  <c r="B40"/>
  <c r="B54" s="1"/>
  <c r="B39"/>
  <c r="B35"/>
  <c r="B34"/>
  <c r="D29"/>
  <c r="C29"/>
  <c r="D28"/>
  <c r="C28"/>
  <c r="D27"/>
  <c r="G27" s="1"/>
  <c r="C27"/>
  <c r="C26"/>
  <c r="D25"/>
  <c r="C25"/>
  <c r="C24"/>
  <c r="C23"/>
  <c r="H18"/>
  <c r="B111" s="1"/>
  <c r="B115" s="1"/>
  <c r="H17"/>
  <c r="B23" s="1"/>
  <c r="E17"/>
  <c r="H14"/>
  <c r="H13" s="1"/>
  <c r="B26" s="1"/>
  <c r="E14"/>
  <c r="E13"/>
  <c r="B24" s="1"/>
  <c r="E12"/>
  <c r="B12"/>
  <c r="B14" s="1"/>
  <c r="B16" s="1"/>
  <c r="B5"/>
  <c r="B116" i="13"/>
  <c r="G30" i="16" l="1"/>
  <c r="G31"/>
  <c r="G32"/>
  <c r="G33"/>
  <c r="D134"/>
  <c r="B135"/>
  <c r="B60"/>
  <c r="B45" i="15"/>
  <c r="B85" s="1"/>
  <c r="B134"/>
  <c r="D134" s="1"/>
  <c r="B88"/>
  <c r="B91" s="1"/>
  <c r="G31"/>
  <c r="G33"/>
  <c r="G35"/>
  <c r="B60"/>
  <c r="B34"/>
  <c r="G34" s="1"/>
  <c r="B29"/>
  <c r="G29" i="14"/>
  <c r="G25"/>
  <c r="B47"/>
  <c r="B48"/>
  <c r="B49" s="1"/>
  <c r="D115"/>
  <c r="B116"/>
  <c r="B62" s="1"/>
  <c r="B43"/>
  <c r="B70"/>
  <c r="B28"/>
  <c r="G28" s="1"/>
  <c r="A81" i="13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D28" i="8"/>
  <c r="B48" i="13"/>
  <c r="B49" s="1"/>
  <c r="B44"/>
  <c r="B58" s="1"/>
  <c r="B43"/>
  <c r="B39"/>
  <c r="D33"/>
  <c r="C33"/>
  <c r="D32"/>
  <c r="C32"/>
  <c r="D31"/>
  <c r="C31"/>
  <c r="C30"/>
  <c r="D29"/>
  <c r="C29"/>
  <c r="C28"/>
  <c r="C27"/>
  <c r="H22"/>
  <c r="E22"/>
  <c r="H19"/>
  <c r="E19"/>
  <c r="E17"/>
  <c r="E18" s="1"/>
  <c r="B17"/>
  <c r="B19" s="1"/>
  <c r="B21" s="1"/>
  <c r="B5"/>
  <c r="B43" i="8"/>
  <c r="B56" s="1"/>
  <c r="B38"/>
  <c r="B79" i="12"/>
  <c r="B84" s="1"/>
  <c r="E84" s="1"/>
  <c r="B43"/>
  <c r="B44" s="1"/>
  <c r="B39"/>
  <c r="B51" s="1"/>
  <c r="B38"/>
  <c r="B34"/>
  <c r="B33"/>
  <c r="D28"/>
  <c r="C28"/>
  <c r="D27"/>
  <c r="C27"/>
  <c r="D26"/>
  <c r="C26"/>
  <c r="C25"/>
  <c r="D24"/>
  <c r="C24"/>
  <c r="C23"/>
  <c r="C22"/>
  <c r="H17"/>
  <c r="B22" s="1"/>
  <c r="E17"/>
  <c r="B28" s="1"/>
  <c r="H14"/>
  <c r="H13" s="1"/>
  <c r="B25" s="1"/>
  <c r="E14"/>
  <c r="B24" s="1"/>
  <c r="E13"/>
  <c r="B23" s="1"/>
  <c r="E12"/>
  <c r="B12"/>
  <c r="B14" s="1"/>
  <c r="B16" s="1"/>
  <c r="B27" s="1"/>
  <c r="B5"/>
  <c r="B66" s="1"/>
  <c r="B67" s="1"/>
  <c r="B76" i="11"/>
  <c r="B81" s="1"/>
  <c r="E81" s="1"/>
  <c r="B44"/>
  <c r="D44" s="1"/>
  <c r="B47" s="1"/>
  <c r="B43"/>
  <c r="B39"/>
  <c r="B51" s="1"/>
  <c r="B38"/>
  <c r="B34"/>
  <c r="B33"/>
  <c r="D28"/>
  <c r="C28"/>
  <c r="D27"/>
  <c r="C27"/>
  <c r="D26"/>
  <c r="C26"/>
  <c r="C25"/>
  <c r="D24"/>
  <c r="C24"/>
  <c r="C23"/>
  <c r="C22"/>
  <c r="H17"/>
  <c r="B22" s="1"/>
  <c r="E17"/>
  <c r="B28" s="1"/>
  <c r="H14"/>
  <c r="B26" s="1"/>
  <c r="E14"/>
  <c r="B24" s="1"/>
  <c r="B14"/>
  <c r="B16" s="1"/>
  <c r="B27" s="1"/>
  <c r="E12"/>
  <c r="E13" s="1"/>
  <c r="B23" s="1"/>
  <c r="B12"/>
  <c r="B5"/>
  <c r="B69" i="10"/>
  <c r="B85" i="7"/>
  <c r="B68" i="10"/>
  <c r="B70"/>
  <c r="B28"/>
  <c r="D29"/>
  <c r="D27"/>
  <c r="D25"/>
  <c r="I26" i="2"/>
  <c r="D28" i="10"/>
  <c r="D26"/>
  <c r="D24"/>
  <c r="M5" i="2"/>
  <c r="M10" s="1"/>
  <c r="M11" s="1"/>
  <c r="M8"/>
  <c r="M7"/>
  <c r="M6"/>
  <c r="B44" i="10"/>
  <c r="B45" s="1"/>
  <c r="B40"/>
  <c r="B52" s="1"/>
  <c r="B39"/>
  <c r="B35"/>
  <c r="B34"/>
  <c r="C29"/>
  <c r="C28"/>
  <c r="C27"/>
  <c r="C26"/>
  <c r="C25"/>
  <c r="C24"/>
  <c r="C23"/>
  <c r="B23"/>
  <c r="H17"/>
  <c r="E17"/>
  <c r="H14"/>
  <c r="B27" s="1"/>
  <c r="E14"/>
  <c r="B25" s="1"/>
  <c r="E12"/>
  <c r="B12"/>
  <c r="B14" s="1"/>
  <c r="B16" s="1"/>
  <c r="B5"/>
  <c r="B47" i="8"/>
  <c r="B48" s="1"/>
  <c r="D29"/>
  <c r="C29"/>
  <c r="C28"/>
  <c r="D27"/>
  <c r="C27"/>
  <c r="C26"/>
  <c r="D25"/>
  <c r="C25"/>
  <c r="C24"/>
  <c r="H17"/>
  <c r="B23" s="1"/>
  <c r="E18"/>
  <c r="B29" s="1"/>
  <c r="H14"/>
  <c r="B27" s="1"/>
  <c r="E14"/>
  <c r="B25" s="1"/>
  <c r="E13"/>
  <c r="B24" s="1"/>
  <c r="E12"/>
  <c r="B12"/>
  <c r="B14" s="1"/>
  <c r="B16" s="1"/>
  <c r="B28" s="1"/>
  <c r="B34" i="1"/>
  <c r="B5"/>
  <c r="B66" s="1"/>
  <c r="B67" s="1"/>
  <c r="B96" s="1"/>
  <c r="B38"/>
  <c r="B33"/>
  <c r="B34" i="7"/>
  <c r="B33"/>
  <c r="B39"/>
  <c r="B51" s="1"/>
  <c r="B38"/>
  <c r="B39" i="1"/>
  <c r="B51" s="1"/>
  <c r="B66" i="7"/>
  <c r="B67" s="1"/>
  <c r="B98" s="1"/>
  <c r="B84" i="1"/>
  <c r="B89" s="1"/>
  <c r="E89" s="1"/>
  <c r="B43" i="7"/>
  <c r="B44" s="1"/>
  <c r="D44" s="1"/>
  <c r="B47" s="1"/>
  <c r="B65" s="1"/>
  <c r="D28"/>
  <c r="C28"/>
  <c r="C27"/>
  <c r="D26"/>
  <c r="C26"/>
  <c r="C25"/>
  <c r="D24"/>
  <c r="C24"/>
  <c r="C23"/>
  <c r="C22"/>
  <c r="E16"/>
  <c r="B22" s="1"/>
  <c r="H13"/>
  <c r="H12" s="1"/>
  <c r="B25" s="1"/>
  <c r="H16"/>
  <c r="E13"/>
  <c r="E12"/>
  <c r="B23" s="1"/>
  <c r="B11"/>
  <c r="B13" s="1"/>
  <c r="B15" s="1"/>
  <c r="B27" s="1"/>
  <c r="M16" i="2"/>
  <c r="M19"/>
  <c r="M18"/>
  <c r="M17"/>
  <c r="D21" i="3"/>
  <c r="D20"/>
  <c r="D19"/>
  <c r="D22" s="1"/>
  <c r="B6" s="1"/>
  <c r="B11" s="1"/>
  <c r="D18"/>
  <c r="B3"/>
  <c r="B2"/>
  <c r="B9" s="1"/>
  <c r="C22" i="1"/>
  <c r="C28"/>
  <c r="C27"/>
  <c r="C26"/>
  <c r="C25"/>
  <c r="C24"/>
  <c r="C23"/>
  <c r="B43"/>
  <c r="B44" s="1"/>
  <c r="B26" i="2"/>
  <c r="D26" i="1" s="1"/>
  <c r="F5" i="2"/>
  <c r="F16"/>
  <c r="F6"/>
  <c r="F17"/>
  <c r="F7"/>
  <c r="F18"/>
  <c r="H14" i="1"/>
  <c r="H13" s="1"/>
  <c r="B25" s="1"/>
  <c r="E14"/>
  <c r="B24" s="1"/>
  <c r="E12"/>
  <c r="E13" s="1"/>
  <c r="B23" s="1"/>
  <c r="E17"/>
  <c r="B28" s="1"/>
  <c r="H17"/>
  <c r="B22" s="1"/>
  <c r="B12"/>
  <c r="B14" s="1"/>
  <c r="B16" s="1"/>
  <c r="B27" s="1"/>
  <c r="B137" i="16" l="1"/>
  <c r="B139"/>
  <c r="B73" s="1"/>
  <c r="B74" s="1"/>
  <c r="F9" i="2"/>
  <c r="F10" s="1"/>
  <c r="D28" i="13" s="1"/>
  <c r="G27" i="11"/>
  <c r="B135" i="15"/>
  <c r="B139" s="1"/>
  <c r="B73" s="1"/>
  <c r="B74" s="1"/>
  <c r="B46" i="8"/>
  <c r="H13"/>
  <c r="B26" s="1"/>
  <c r="B96" i="15"/>
  <c r="B59"/>
  <c r="B77" i="14"/>
  <c r="B64"/>
  <c r="G31" i="13"/>
  <c r="B74"/>
  <c r="B79" s="1"/>
  <c r="H23"/>
  <c r="B113" s="1"/>
  <c r="B117" s="1"/>
  <c r="B118" s="1"/>
  <c r="B120" s="1"/>
  <c r="G29"/>
  <c r="G33"/>
  <c r="H18"/>
  <c r="B30" s="1"/>
  <c r="B27"/>
  <c r="D49"/>
  <c r="B28"/>
  <c r="B32"/>
  <c r="G32" s="1"/>
  <c r="B26" i="12"/>
  <c r="G26" s="1"/>
  <c r="G28"/>
  <c r="G24"/>
  <c r="G27"/>
  <c r="B42"/>
  <c r="B89"/>
  <c r="B87"/>
  <c r="B91"/>
  <c r="B93"/>
  <c r="B85"/>
  <c r="B94"/>
  <c r="B92"/>
  <c r="B90"/>
  <c r="B88"/>
  <c r="B86"/>
  <c r="D44"/>
  <c r="B47" s="1"/>
  <c r="B65" s="1"/>
  <c r="F44"/>
  <c r="H13" i="11"/>
  <c r="B25" s="1"/>
  <c r="G24"/>
  <c r="G26"/>
  <c r="G28"/>
  <c r="B42"/>
  <c r="F44"/>
  <c r="B100" i="1"/>
  <c r="B86" i="7"/>
  <c r="B91" s="1"/>
  <c r="E91" s="1"/>
  <c r="B71" i="10"/>
  <c r="B76" s="1"/>
  <c r="E76" s="1"/>
  <c r="B43"/>
  <c r="E13"/>
  <c r="B24" s="1"/>
  <c r="G24" s="1"/>
  <c r="H13"/>
  <c r="B26" s="1"/>
  <c r="G26" s="1"/>
  <c r="G29"/>
  <c r="G27" i="8"/>
  <c r="G28" i="10"/>
  <c r="G27"/>
  <c r="G29" i="8"/>
  <c r="G25" i="10"/>
  <c r="G25" i="8"/>
  <c r="G28"/>
  <c r="D45" i="10"/>
  <c r="B48" s="1"/>
  <c r="F45"/>
  <c r="D48" i="8"/>
  <c r="B51" s="1"/>
  <c r="F48"/>
  <c r="B97" i="7"/>
  <c r="B95"/>
  <c r="B96"/>
  <c r="B94"/>
  <c r="B93"/>
  <c r="B101"/>
  <c r="B92"/>
  <c r="B100"/>
  <c r="B99"/>
  <c r="B95" i="1"/>
  <c r="B91"/>
  <c r="B90"/>
  <c r="B97"/>
  <c r="B94"/>
  <c r="B93"/>
  <c r="B92"/>
  <c r="B99"/>
  <c r="B98"/>
  <c r="G28" i="7"/>
  <c r="G24"/>
  <c r="G26"/>
  <c r="B42"/>
  <c r="F44"/>
  <c r="B42" i="1"/>
  <c r="M21" i="2"/>
  <c r="M22" s="1"/>
  <c r="D27" i="7" s="1"/>
  <c r="G27" s="1"/>
  <c r="B13" i="3"/>
  <c r="B29" i="2" s="1"/>
  <c r="D29" i="16" s="1"/>
  <c r="G29" s="1"/>
  <c r="G36" s="1"/>
  <c r="G37" s="1"/>
  <c r="F20" i="2"/>
  <c r="F21" s="1"/>
  <c r="D44" i="1"/>
  <c r="B47" s="1"/>
  <c r="B65" s="1"/>
  <c r="F44"/>
  <c r="B26"/>
  <c r="D24"/>
  <c r="D28"/>
  <c r="G28" s="1"/>
  <c r="B64" i="16" l="1"/>
  <c r="B66" s="1"/>
  <c r="B70" s="1"/>
  <c r="B80" s="1"/>
  <c r="D25" i="12"/>
  <c r="G25" s="1"/>
  <c r="D26" i="14"/>
  <c r="G26" s="1"/>
  <c r="D23" i="7"/>
  <c r="G23" s="1"/>
  <c r="D30" i="15"/>
  <c r="G30" s="1"/>
  <c r="D25" i="11"/>
  <c r="G25" s="1"/>
  <c r="D24" i="14"/>
  <c r="G24" s="1"/>
  <c r="D23" i="11"/>
  <c r="G23" s="1"/>
  <c r="D23" i="12"/>
  <c r="G23" s="1"/>
  <c r="G24" i="8"/>
  <c r="D32" i="15"/>
  <c r="G32" s="1"/>
  <c r="D25" i="7"/>
  <c r="G25" s="1"/>
  <c r="D25" i="1"/>
  <c r="G25" s="1"/>
  <c r="G30" i="13"/>
  <c r="D30"/>
  <c r="D26" i="8"/>
  <c r="G26" s="1"/>
  <c r="G28" i="13"/>
  <c r="D29" i="15"/>
  <c r="G29" s="1"/>
  <c r="D23" i="14"/>
  <c r="G23" s="1"/>
  <c r="D22" i="12"/>
  <c r="G22" s="1"/>
  <c r="D22" i="11"/>
  <c r="G22" s="1"/>
  <c r="D27" i="13"/>
  <c r="B52"/>
  <c r="B137" i="15"/>
  <c r="B50" i="8"/>
  <c r="E96" i="15"/>
  <c r="B98" i="14"/>
  <c r="E77"/>
  <c r="D96"/>
  <c r="D94"/>
  <c r="D92"/>
  <c r="D90"/>
  <c r="D88"/>
  <c r="D86"/>
  <c r="D84"/>
  <c r="D82"/>
  <c r="D80"/>
  <c r="D78"/>
  <c r="D97"/>
  <c r="D95"/>
  <c r="D93"/>
  <c r="D91"/>
  <c r="D89"/>
  <c r="D87"/>
  <c r="D85"/>
  <c r="D83"/>
  <c r="D81"/>
  <c r="D79"/>
  <c r="D117" i="13"/>
  <c r="G27"/>
  <c r="B47"/>
  <c r="B51" s="1"/>
  <c r="B100"/>
  <c r="E79"/>
  <c r="B46" i="12"/>
  <c r="B95"/>
  <c r="B46" i="11"/>
  <c r="B87" i="10"/>
  <c r="B47"/>
  <c r="D22" i="7"/>
  <c r="G22" s="1"/>
  <c r="G29" s="1"/>
  <c r="D23" i="8"/>
  <c r="G23" s="1"/>
  <c r="D23" i="10"/>
  <c r="G23" s="1"/>
  <c r="G30" s="1"/>
  <c r="B51" s="1"/>
  <c r="B53" s="1"/>
  <c r="B59" s="1"/>
  <c r="B61" s="1"/>
  <c r="B46" i="7"/>
  <c r="B46" i="1"/>
  <c r="D22"/>
  <c r="G22" s="1"/>
  <c r="D27"/>
  <c r="G27" s="1"/>
  <c r="D23"/>
  <c r="G23" s="1"/>
  <c r="G24"/>
  <c r="G26"/>
  <c r="B82" i="16" l="1"/>
  <c r="G30" i="14"/>
  <c r="B53" s="1"/>
  <c r="B55" s="1"/>
  <c r="G36" i="15"/>
  <c r="G37" s="1"/>
  <c r="G30" i="8"/>
  <c r="B55" s="1"/>
  <c r="B57" s="1"/>
  <c r="G29" i="12"/>
  <c r="B50" s="1"/>
  <c r="B52" s="1"/>
  <c r="B53" s="1"/>
  <c r="G29" i="11"/>
  <c r="B50" s="1"/>
  <c r="B52" s="1"/>
  <c r="B53" s="1"/>
  <c r="G34" i="13"/>
  <c r="B57" s="1"/>
  <c r="B59" s="1"/>
  <c r="D83" i="10"/>
  <c r="D80"/>
  <c r="D81"/>
  <c r="D82"/>
  <c r="D84"/>
  <c r="D85"/>
  <c r="D77"/>
  <c r="D86"/>
  <c r="D78"/>
  <c r="D79"/>
  <c r="D98" i="14"/>
  <c r="B122" i="13"/>
  <c r="B62" s="1"/>
  <c r="B64" s="1"/>
  <c r="B61" i="11"/>
  <c r="B58"/>
  <c r="B68" s="1"/>
  <c r="B70" s="1"/>
  <c r="D87" s="1"/>
  <c r="B62" i="10"/>
  <c r="D62" s="1"/>
  <c r="B54"/>
  <c r="B50" i="7"/>
  <c r="B52" s="1"/>
  <c r="G29" i="1"/>
  <c r="D115" i="16" l="1"/>
  <c r="D112"/>
  <c r="D109"/>
  <c r="D101"/>
  <c r="D106"/>
  <c r="D98"/>
  <c r="D111"/>
  <c r="D103"/>
  <c r="D114"/>
  <c r="D116"/>
  <c r="D108"/>
  <c r="D100"/>
  <c r="D105"/>
  <c r="D97"/>
  <c r="D110"/>
  <c r="D102"/>
  <c r="D107"/>
  <c r="D99"/>
  <c r="D104"/>
  <c r="D113"/>
  <c r="G31" i="8"/>
  <c r="B58" i="12"/>
  <c r="B60" s="1"/>
  <c r="D61" s="1"/>
  <c r="B61"/>
  <c r="B64" i="15"/>
  <c r="B66" s="1"/>
  <c r="B70" s="1"/>
  <c r="B80" s="1"/>
  <c r="B82" s="1"/>
  <c r="D98" s="1"/>
  <c r="B67" i="11"/>
  <c r="D67" s="1"/>
  <c r="D57" i="8"/>
  <c r="B63"/>
  <c r="D87" i="10"/>
  <c r="B66" i="8"/>
  <c r="B70" i="12"/>
  <c r="B71" s="1"/>
  <c r="B73" s="1"/>
  <c r="D87" s="1"/>
  <c r="D83" i="11"/>
  <c r="D85"/>
  <c r="D88"/>
  <c r="D86"/>
  <c r="D91"/>
  <c r="D90"/>
  <c r="D84"/>
  <c r="D82"/>
  <c r="D89"/>
  <c r="B60"/>
  <c r="B96"/>
  <c r="B63" i="10"/>
  <c r="D63" s="1"/>
  <c r="B53" i="7"/>
  <c r="B73"/>
  <c r="D73" s="1"/>
  <c r="B61"/>
  <c r="B58"/>
  <c r="B60" s="1"/>
  <c r="B50" i="1"/>
  <c r="B52" s="1"/>
  <c r="D110" i="15" l="1"/>
  <c r="D99"/>
  <c r="D102"/>
  <c r="B91" i="10"/>
  <c r="B96" s="1"/>
  <c r="B121" i="16"/>
  <c r="D106" i="15"/>
  <c r="D117" i="16"/>
  <c r="D115" i="15"/>
  <c r="D101"/>
  <c r="D97"/>
  <c r="D113"/>
  <c r="B99" i="12"/>
  <c r="B101" s="1"/>
  <c r="C101" s="1"/>
  <c r="D100" i="15"/>
  <c r="D104"/>
  <c r="D107"/>
  <c r="D114"/>
  <c r="D105"/>
  <c r="D109"/>
  <c r="D112"/>
  <c r="D108"/>
  <c r="D103"/>
  <c r="D116"/>
  <c r="D111"/>
  <c r="B121"/>
  <c r="B126" s="1"/>
  <c r="B102" i="14"/>
  <c r="B107" s="1"/>
  <c r="B65" i="8"/>
  <c r="B104" i="13"/>
  <c r="B106" s="1"/>
  <c r="C106" s="1"/>
  <c r="B66"/>
  <c r="D85" i="12"/>
  <c r="D94"/>
  <c r="D92"/>
  <c r="D86"/>
  <c r="D91"/>
  <c r="D88"/>
  <c r="D90"/>
  <c r="D93"/>
  <c r="D89"/>
  <c r="C93"/>
  <c r="C91"/>
  <c r="E91" s="1"/>
  <c r="C89"/>
  <c r="C87"/>
  <c r="E87" s="1"/>
  <c r="C85"/>
  <c r="B75"/>
  <c r="B81" s="1"/>
  <c r="B62"/>
  <c r="D62" s="1"/>
  <c r="C94"/>
  <c r="C92"/>
  <c r="C90"/>
  <c r="C88"/>
  <c r="C86"/>
  <c r="D92" i="11"/>
  <c r="C86"/>
  <c r="E86" s="1"/>
  <c r="C83"/>
  <c r="E83" s="1"/>
  <c r="C88"/>
  <c r="E88" s="1"/>
  <c r="C85"/>
  <c r="E85" s="1"/>
  <c r="B72"/>
  <c r="B78" s="1"/>
  <c r="C90"/>
  <c r="E90" s="1"/>
  <c r="C87"/>
  <c r="E87" s="1"/>
  <c r="C89"/>
  <c r="E89" s="1"/>
  <c r="C82"/>
  <c r="C84"/>
  <c r="E84" s="1"/>
  <c r="C91"/>
  <c r="E91" s="1"/>
  <c r="B62"/>
  <c r="D62" s="1"/>
  <c r="D61"/>
  <c r="B101"/>
  <c r="B98"/>
  <c r="C98" s="1"/>
  <c r="B93" i="10"/>
  <c r="C93" s="1"/>
  <c r="B74" i="7"/>
  <c r="B75" s="1"/>
  <c r="B76" s="1"/>
  <c r="B78" s="1"/>
  <c r="D95" s="1"/>
  <c r="D61"/>
  <c r="B53" i="1"/>
  <c r="B73" s="1"/>
  <c r="B72"/>
  <c r="D72" s="1"/>
  <c r="B62" i="7"/>
  <c r="D62" s="1"/>
  <c r="B61" i="1"/>
  <c r="B58"/>
  <c r="B123" i="16" l="1"/>
  <c r="C123" s="1"/>
  <c r="B126"/>
  <c r="C105" i="15"/>
  <c r="E105" s="1"/>
  <c r="C112" i="16"/>
  <c r="E112" s="1"/>
  <c r="C104"/>
  <c r="E104" s="1"/>
  <c r="C100"/>
  <c r="E100" s="1"/>
  <c r="C116"/>
  <c r="E116" s="1"/>
  <c r="C108"/>
  <c r="E108" s="1"/>
  <c r="C97"/>
  <c r="C113"/>
  <c r="E113" s="1"/>
  <c r="C109"/>
  <c r="E109" s="1"/>
  <c r="C105"/>
  <c r="E105" s="1"/>
  <c r="C101"/>
  <c r="E101" s="1"/>
  <c r="C114"/>
  <c r="E114" s="1"/>
  <c r="C102"/>
  <c r="E102" s="1"/>
  <c r="C110"/>
  <c r="E110" s="1"/>
  <c r="C106"/>
  <c r="E106" s="1"/>
  <c r="C98"/>
  <c r="E98" s="1"/>
  <c r="C111"/>
  <c r="E111" s="1"/>
  <c r="C107"/>
  <c r="E107" s="1"/>
  <c r="C99"/>
  <c r="E99" s="1"/>
  <c r="C115"/>
  <c r="E115" s="1"/>
  <c r="C103"/>
  <c r="E103" s="1"/>
  <c r="B84"/>
  <c r="B94" s="1"/>
  <c r="B104" i="12"/>
  <c r="D117" i="15"/>
  <c r="E86" i="12"/>
  <c r="B123" i="15"/>
  <c r="C123" s="1"/>
  <c r="C93" i="13"/>
  <c r="B104" i="14"/>
  <c r="C104" s="1"/>
  <c r="E88" i="12"/>
  <c r="C85" i="13"/>
  <c r="C83"/>
  <c r="C83" i="14"/>
  <c r="E83" s="1"/>
  <c r="C78" i="10"/>
  <c r="E78" s="1"/>
  <c r="C85" i="14"/>
  <c r="E85" s="1"/>
  <c r="C87"/>
  <c r="E87" s="1"/>
  <c r="C113" i="15"/>
  <c r="E113" s="1"/>
  <c r="C84" i="13"/>
  <c r="B66" i="14"/>
  <c r="B74" s="1"/>
  <c r="C87" i="13"/>
  <c r="C84" i="14"/>
  <c r="E84" s="1"/>
  <c r="C107" i="15"/>
  <c r="E107" s="1"/>
  <c r="C80" i="10"/>
  <c r="E80" s="1"/>
  <c r="C82"/>
  <c r="E82" s="1"/>
  <c r="C88" i="13"/>
  <c r="C91"/>
  <c r="C94" i="14"/>
  <c r="E94" s="1"/>
  <c r="C78"/>
  <c r="E78" s="1"/>
  <c r="C90"/>
  <c r="E90" s="1"/>
  <c r="C100" i="15"/>
  <c r="E100" s="1"/>
  <c r="C103"/>
  <c r="E103" s="1"/>
  <c r="C99"/>
  <c r="E99" s="1"/>
  <c r="C101"/>
  <c r="E101" s="1"/>
  <c r="C88" i="14"/>
  <c r="E88" s="1"/>
  <c r="C112" i="15"/>
  <c r="E112" s="1"/>
  <c r="B65" i="10"/>
  <c r="B73" s="1"/>
  <c r="C83"/>
  <c r="E83" s="1"/>
  <c r="C80" i="13"/>
  <c r="C99"/>
  <c r="C97"/>
  <c r="C86" i="14"/>
  <c r="E86" s="1"/>
  <c r="C82"/>
  <c r="E82" s="1"/>
  <c r="C108" i="15"/>
  <c r="E108" s="1"/>
  <c r="C111"/>
  <c r="E111" s="1"/>
  <c r="C98"/>
  <c r="E98" s="1"/>
  <c r="B67" i="8"/>
  <c r="D67" s="1"/>
  <c r="C86" i="10"/>
  <c r="E86" s="1"/>
  <c r="C92" i="13"/>
  <c r="C92" i="14"/>
  <c r="E92" s="1"/>
  <c r="C104" i="15"/>
  <c r="E104" s="1"/>
  <c r="C79" i="10"/>
  <c r="E79" s="1"/>
  <c r="C81"/>
  <c r="E81" s="1"/>
  <c r="C98" i="13"/>
  <c r="B84" i="15"/>
  <c r="B94" s="1"/>
  <c r="D95" i="12"/>
  <c r="E89"/>
  <c r="E85"/>
  <c r="C84" i="10"/>
  <c r="E84" s="1"/>
  <c r="C89" i="13"/>
  <c r="C90"/>
  <c r="C96"/>
  <c r="C79" i="14"/>
  <c r="E79" s="1"/>
  <c r="C80"/>
  <c r="E80" s="1"/>
  <c r="C96"/>
  <c r="E96" s="1"/>
  <c r="C116" i="15"/>
  <c r="E116" s="1"/>
  <c r="C110"/>
  <c r="E110" s="1"/>
  <c r="C106"/>
  <c r="E106" s="1"/>
  <c r="C86" i="13"/>
  <c r="C109" i="15"/>
  <c r="E109" s="1"/>
  <c r="D66" i="8"/>
  <c r="C85" i="10"/>
  <c r="E85" s="1"/>
  <c r="C81" i="13"/>
  <c r="B68"/>
  <c r="B76" s="1"/>
  <c r="C95"/>
  <c r="C97" i="14"/>
  <c r="E97" s="1"/>
  <c r="C89"/>
  <c r="E89" s="1"/>
  <c r="C81"/>
  <c r="E81" s="1"/>
  <c r="C115" i="15"/>
  <c r="E115" s="1"/>
  <c r="C102"/>
  <c r="E102" s="1"/>
  <c r="C114"/>
  <c r="E114" s="1"/>
  <c r="C77" i="10"/>
  <c r="C82" i="13"/>
  <c r="B109"/>
  <c r="C94"/>
  <c r="C95" i="14"/>
  <c r="E95" s="1"/>
  <c r="C93"/>
  <c r="E93" s="1"/>
  <c r="C91"/>
  <c r="E91" s="1"/>
  <c r="C97" i="15"/>
  <c r="D91" i="13"/>
  <c r="D98"/>
  <c r="D99"/>
  <c r="D94"/>
  <c r="D90"/>
  <c r="D97"/>
  <c r="D93"/>
  <c r="D96"/>
  <c r="D92"/>
  <c r="D95"/>
  <c r="D89"/>
  <c r="D85"/>
  <c r="D84"/>
  <c r="D81"/>
  <c r="D83"/>
  <c r="D88"/>
  <c r="D87"/>
  <c r="D80"/>
  <c r="D86"/>
  <c r="D82"/>
  <c r="E93" i="12"/>
  <c r="E90"/>
  <c r="E92"/>
  <c r="E94"/>
  <c r="C95"/>
  <c r="C92" i="11"/>
  <c r="E82"/>
  <c r="E92" s="1"/>
  <c r="B93" s="1"/>
  <c r="B74" i="1"/>
  <c r="B75" s="1"/>
  <c r="D100" i="7"/>
  <c r="D98"/>
  <c r="D99"/>
  <c r="D97"/>
  <c r="D94"/>
  <c r="D92"/>
  <c r="D93"/>
  <c r="D101"/>
  <c r="D96"/>
  <c r="B60" i="1"/>
  <c r="C100" i="7" s="1"/>
  <c r="B106"/>
  <c r="E86" i="13" l="1"/>
  <c r="E83"/>
  <c r="C117" i="16"/>
  <c r="E97"/>
  <c r="E117" s="1"/>
  <c r="B118" s="1"/>
  <c r="E96" i="13"/>
  <c r="E98"/>
  <c r="E85"/>
  <c r="E80"/>
  <c r="E90"/>
  <c r="C117" i="15"/>
  <c r="E82" i="13"/>
  <c r="E94"/>
  <c r="C100"/>
  <c r="E97"/>
  <c r="E93"/>
  <c r="E81"/>
  <c r="E92"/>
  <c r="C87" i="10"/>
  <c r="E97" i="15"/>
  <c r="E117" s="1"/>
  <c r="B118" s="1"/>
  <c r="E77" i="10"/>
  <c r="E87" s="1"/>
  <c r="B88" s="1"/>
  <c r="C98" i="14"/>
  <c r="E98"/>
  <c r="B99" s="1"/>
  <c r="E88" i="13"/>
  <c r="E91"/>
  <c r="E84"/>
  <c r="E87"/>
  <c r="E95"/>
  <c r="E89"/>
  <c r="E99"/>
  <c r="D100"/>
  <c r="E95" i="12"/>
  <c r="B96" s="1"/>
  <c r="B77" i="1"/>
  <c r="D97" s="1"/>
  <c r="B104"/>
  <c r="B109" s="1"/>
  <c r="D102" i="7"/>
  <c r="E100"/>
  <c r="C92"/>
  <c r="E92" s="1"/>
  <c r="C96" i="1"/>
  <c r="C101" i="7"/>
  <c r="E101" s="1"/>
  <c r="B108"/>
  <c r="C108" s="1"/>
  <c r="B111"/>
  <c r="C90" i="1"/>
  <c r="C98" i="7"/>
  <c r="E98" s="1"/>
  <c r="C95"/>
  <c r="E95" s="1"/>
  <c r="B80"/>
  <c r="B88" s="1"/>
  <c r="C97"/>
  <c r="E97" s="1"/>
  <c r="C92" i="1"/>
  <c r="C93" i="7"/>
  <c r="E93" s="1"/>
  <c r="C91" i="1"/>
  <c r="C95"/>
  <c r="C93"/>
  <c r="C98"/>
  <c r="C99" i="7"/>
  <c r="E99" s="1"/>
  <c r="C94" i="1"/>
  <c r="C99"/>
  <c r="C97"/>
  <c r="D61"/>
  <c r="B62"/>
  <c r="D62" s="1"/>
  <c r="C94" i="7"/>
  <c r="E94" s="1"/>
  <c r="C96"/>
  <c r="E96" s="1"/>
  <c r="E100" i="13" l="1"/>
  <c r="B101" s="1"/>
  <c r="C100" i="1"/>
  <c r="D99"/>
  <c r="E99" s="1"/>
  <c r="D90"/>
  <c r="D98"/>
  <c r="E98" s="1"/>
  <c r="D96"/>
  <c r="B79"/>
  <c r="B86" s="1"/>
  <c r="D93"/>
  <c r="E93" s="1"/>
  <c r="E97"/>
  <c r="D92"/>
  <c r="D95"/>
  <c r="E95" s="1"/>
  <c r="E96"/>
  <c r="D94"/>
  <c r="E94" s="1"/>
  <c r="B106"/>
  <c r="C106" s="1"/>
  <c r="D91"/>
  <c r="E91" s="1"/>
  <c r="E102" i="7"/>
  <c r="B103" s="1"/>
  <c r="C102"/>
  <c r="E90" i="1" l="1"/>
  <c r="E100" s="1"/>
  <c r="D100"/>
  <c r="E92"/>
  <c r="B101" l="1"/>
</calcChain>
</file>

<file path=xl/sharedStrings.xml><?xml version="1.0" encoding="utf-8"?>
<sst xmlns="http://schemas.openxmlformats.org/spreadsheetml/2006/main" count="1837" uniqueCount="350">
  <si>
    <t>Area copertura</t>
  </si>
  <si>
    <t>m2</t>
  </si>
  <si>
    <t>Vetrate copertura</t>
  </si>
  <si>
    <t>Area</t>
  </si>
  <si>
    <t>m</t>
  </si>
  <si>
    <t>Lato v. campata</t>
  </si>
  <si>
    <t>Lato o. campata</t>
  </si>
  <si>
    <t>Lungh. campata</t>
  </si>
  <si>
    <t>Larghezza laborat.</t>
  </si>
  <si>
    <t>Pavimento</t>
  </si>
  <si>
    <t>Parete OVEST</t>
  </si>
  <si>
    <t>Parete EST</t>
  </si>
  <si>
    <t>w/m2K</t>
  </si>
  <si>
    <t>U</t>
  </si>
  <si>
    <t>w/m2k</t>
  </si>
  <si>
    <t>hi</t>
  </si>
  <si>
    <t>intonaco</t>
  </si>
  <si>
    <t>blocco cemento 30 cm</t>
  </si>
  <si>
    <t>he</t>
  </si>
  <si>
    <t>R</t>
  </si>
  <si>
    <t>R tot</t>
  </si>
  <si>
    <t>U tot</t>
  </si>
  <si>
    <t>Parete esterna</t>
  </si>
  <si>
    <t>Copertura</t>
  </si>
  <si>
    <t>soletta CLS armato uni 10351</t>
  </si>
  <si>
    <t>barriera vap. bitume</t>
  </si>
  <si>
    <t>k</t>
  </si>
  <si>
    <t>U pavimento</t>
  </si>
  <si>
    <t>°C</t>
  </si>
  <si>
    <t>Struttura</t>
  </si>
  <si>
    <t>Esp.</t>
  </si>
  <si>
    <t>pavimento</t>
  </si>
  <si>
    <t>Q watt</t>
  </si>
  <si>
    <t>parete O</t>
  </si>
  <si>
    <t>vetrata O</t>
  </si>
  <si>
    <t>parete E</t>
  </si>
  <si>
    <t>vetrata E</t>
  </si>
  <si>
    <t>tetto</t>
  </si>
  <si>
    <t>vetrata tetto</t>
  </si>
  <si>
    <t>w</t>
  </si>
  <si>
    <t>Qs tot</t>
  </si>
  <si>
    <t>Numero persone</t>
  </si>
  <si>
    <t>w  attività moderata da seduti 70 w</t>
  </si>
  <si>
    <t>w  attività moderata da seduti 45 w</t>
  </si>
  <si>
    <t>Userramento</t>
  </si>
  <si>
    <t>U effettiva</t>
  </si>
  <si>
    <t>Solaio appoggiato su terreno sabbia e ghiaia</t>
  </si>
  <si>
    <t>Località</t>
  </si>
  <si>
    <t>BRESCIA</t>
  </si>
  <si>
    <t>Giorni riscaldamento</t>
  </si>
  <si>
    <t>Temperatura MIN.</t>
  </si>
  <si>
    <t>Temperatura di progetto</t>
  </si>
  <si>
    <t>gg</t>
  </si>
  <si>
    <t>Temperatura media inv.</t>
  </si>
  <si>
    <t>Area disperdenti</t>
  </si>
  <si>
    <t>Dispersioni termiche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</si>
  <si>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</si>
  <si>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t>P.T.</t>
  </si>
  <si>
    <t>Si ipotizza un coefficiente globale dei ponti termici pari al +20% delle dispersioni</t>
  </si>
  <si>
    <t>Luci (20 neon 35 w)</t>
  </si>
  <si>
    <t>Calore prodotto dalle persone</t>
  </si>
  <si>
    <t>Per persona</t>
  </si>
  <si>
    <t>l/s</t>
  </si>
  <si>
    <t>Totale</t>
  </si>
  <si>
    <t>Kg/s</t>
  </si>
  <si>
    <t>m3/h</t>
  </si>
  <si>
    <t>Volume del locale</t>
  </si>
  <si>
    <t>H parete</t>
  </si>
  <si>
    <t>A parete</t>
  </si>
  <si>
    <t>A vetrata</t>
  </si>
  <si>
    <t>A pavimento</t>
  </si>
  <si>
    <t>m3   riferiti all'altezza media di 6,25m</t>
  </si>
  <si>
    <t>Con la portata minima di rinnova si ha un tasso di ricambio orario di</t>
  </si>
  <si>
    <t>Vol/h</t>
  </si>
  <si>
    <t>Q ventilazione</t>
  </si>
  <si>
    <t>watt</t>
  </si>
  <si>
    <t>Q latente tot.</t>
  </si>
  <si>
    <t>Ore di riscaldamento</t>
  </si>
  <si>
    <t>Kwh</t>
  </si>
  <si>
    <t>€/ Kwh</t>
  </si>
  <si>
    <t>Costo invernale</t>
  </si>
  <si>
    <t>€ / anno</t>
  </si>
  <si>
    <t>Tasso orario ricambio aria</t>
  </si>
  <si>
    <t>Dispersione invernale totale</t>
  </si>
  <si>
    <t>%</t>
  </si>
  <si>
    <t xml:space="preserve">          per dispersioni</t>
  </si>
  <si>
    <t xml:space="preserve">          per ventilazione</t>
  </si>
  <si>
    <t>Efficienza impianto distribuz.</t>
  </si>
  <si>
    <t>Q tot invernale</t>
  </si>
  <si>
    <t>SCOP della pompa di calore</t>
  </si>
  <si>
    <t>Costo Kwh elettrico</t>
  </si>
  <si>
    <t>Costo invernale PDC</t>
  </si>
  <si>
    <t>Risparmio annuo</t>
  </si>
  <si>
    <t>Calcolo tramisttanza pavimento su terreno (UNI EN 13370:2008)</t>
  </si>
  <si>
    <t>A</t>
  </si>
  <si>
    <t>area interna pavimento</t>
  </si>
  <si>
    <t>P</t>
  </si>
  <si>
    <t>perimetro pavimento</t>
  </si>
  <si>
    <r>
      <rPr>
        <sz val="11"/>
        <color indexed="8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terr.</t>
    </r>
  </si>
  <si>
    <t>w/mk</t>
  </si>
  <si>
    <t>conduc. del terreno (sabbia + ghiaia)</t>
  </si>
  <si>
    <t>Sp pareti perimet.</t>
  </si>
  <si>
    <t>spessore delle pareti esterne della struttura</t>
  </si>
  <si>
    <t>Rf del pavimentp</t>
  </si>
  <si>
    <t>Calcolo dimensione caratteristica B' del locale</t>
  </si>
  <si>
    <t>B'</t>
  </si>
  <si>
    <t>Calcolo spessore equivalente del pavimento dt</t>
  </si>
  <si>
    <t>dt</t>
  </si>
  <si>
    <t>pavimento NON isolato</t>
  </si>
  <si>
    <t>Trasmittanza termica del pavimento</t>
  </si>
  <si>
    <t>w/m2 k</t>
  </si>
  <si>
    <t>da usare x le dispersioni</t>
  </si>
  <si>
    <t>stratigrafia</t>
  </si>
  <si>
    <t>s</t>
  </si>
  <si>
    <t>landa</t>
  </si>
  <si>
    <t>piastrelle</t>
  </si>
  <si>
    <t>Rf</t>
  </si>
  <si>
    <t>sottofondo</t>
  </si>
  <si>
    <t>C.L.S</t>
  </si>
  <si>
    <t>Copertura con controsoffitto</t>
  </si>
  <si>
    <t>Q totale invernale</t>
  </si>
  <si>
    <t>hi aria interna</t>
  </si>
  <si>
    <t>he aria esterna</t>
  </si>
  <si>
    <t>h  7 ore mattina + 5 ore corso serale</t>
  </si>
  <si>
    <t>Rendimento distrib. impianto</t>
  </si>
  <si>
    <t>--&gt; tubi a parete non isolati e fan coils</t>
  </si>
  <si>
    <t>Costo termico Kwh</t>
  </si>
  <si>
    <t>Energia termica spesa</t>
  </si>
  <si>
    <t>Kwh elettrici consumati PDC</t>
  </si>
  <si>
    <t>Q sensibile totale</t>
  </si>
  <si>
    <t>Computers (24) al 50% utilizzo</t>
  </si>
  <si>
    <t>m3   riferiti all'altezza media di 5m controsoffitto</t>
  </si>
  <si>
    <t>Luci LED (20 neon 15 w)</t>
  </si>
  <si>
    <t>senza la ventilazione NON AVREI BISOGNO DI RISCALDARE!!!</t>
  </si>
  <si>
    <t>Potenza della PDC</t>
  </si>
  <si>
    <t xml:space="preserve">Kw </t>
  </si>
  <si>
    <t>Q ventilazione VMC</t>
  </si>
  <si>
    <t>BTU</t>
  </si>
  <si>
    <t>A vetrate</t>
  </si>
  <si>
    <t>Ipotizzando l'impiego di una PDC con SCOP = 5 e VMC con efficienza 90% avremmo</t>
  </si>
  <si>
    <t>Con la portata minima di rinnovo si ha un tasso di ricambio orario di</t>
  </si>
  <si>
    <t>COSTO IMPIANTO</t>
  </si>
  <si>
    <t>PDC + TUBI + POMPA</t>
  </si>
  <si>
    <t>VMC + CANALI</t>
  </si>
  <si>
    <t>tot.</t>
  </si>
  <si>
    <t>€</t>
  </si>
  <si>
    <t>ROI</t>
  </si>
  <si>
    <t>anni</t>
  </si>
  <si>
    <t>Anno</t>
  </si>
  <si>
    <t>Risparmio</t>
  </si>
  <si>
    <t xml:space="preserve">Dopo 10 anni il risparmio è di </t>
  </si>
  <si>
    <t>Originale</t>
  </si>
  <si>
    <t>Nuovo</t>
  </si>
  <si>
    <t>Impianto</t>
  </si>
  <si>
    <t>Risparmio in TEP</t>
  </si>
  <si>
    <t>Nm3 di metano</t>
  </si>
  <si>
    <t>Energia termica risparmiata</t>
  </si>
  <si>
    <t>Kg/kwh</t>
  </si>
  <si>
    <t>Produzione di CO2 evitata</t>
  </si>
  <si>
    <t>CO2 per Kwh termico con CH4</t>
  </si>
  <si>
    <t>Ton</t>
  </si>
  <si>
    <t>IMPATTO AMBIENTALE</t>
  </si>
  <si>
    <t>costo elettrico VMC da 250 w</t>
  </si>
  <si>
    <t>da verificare</t>
  </si>
  <si>
    <t>Kwh elettrici consumati VMC</t>
  </si>
  <si>
    <t>Costo elettrico VMC</t>
  </si>
  <si>
    <t>Kwh   --&gt; potenza 0,25Kw</t>
  </si>
  <si>
    <t>Laboratorio IIS Castelli BS</t>
  </si>
  <si>
    <t>Coefficiente presenza</t>
  </si>
  <si>
    <t>Q sensibile presenza</t>
  </si>
  <si>
    <t>Q latente presenza</t>
  </si>
  <si>
    <t>quanto mediamente nella mattina sono occupati i lab.</t>
  </si>
  <si>
    <t>Apporti di calore gratuiti</t>
  </si>
  <si>
    <t>Potenza dispersa areare i locali</t>
  </si>
  <si>
    <t>Q tot - Qventilazione</t>
  </si>
  <si>
    <t>Q ventilazione con VMC</t>
  </si>
  <si>
    <t>Rendimento impianto distrib.</t>
  </si>
  <si>
    <t>Costo indicativo per il riscaldamento invernale</t>
  </si>
  <si>
    <t>Si ipotizza una controsoffittatura in poliuretano da 10 cm a 5 m di altezza</t>
  </si>
  <si>
    <t>w  --&gt; sostituzione vecchi neon con tubi a LED</t>
  </si>
  <si>
    <t>Percentuale di utilizzo</t>
  </si>
  <si>
    <t>Riscaldamento con PDC pompa di calore ad alta efficienza</t>
  </si>
  <si>
    <t>Ventilazione meccanica controllata VMC ad alta efficienza</t>
  </si>
  <si>
    <t>Q tot - Q ventilazione</t>
  </si>
  <si>
    <t>1 TEP (tonn. equival. Petrolio)</t>
  </si>
  <si>
    <t>22 (24 in info) studenti + 2 docenti</t>
  </si>
  <si>
    <t>Energia termica tot. con VMC</t>
  </si>
  <si>
    <t>ZONA E</t>
  </si>
  <si>
    <t>gradi giorno</t>
  </si>
  <si>
    <t>Periodo di riscaldamento</t>
  </si>
  <si>
    <t>Percentuale di utilizzo laborat.</t>
  </si>
  <si>
    <t>quanto mediamente sono occupati i lab.</t>
  </si>
  <si>
    <t>Parete NORD</t>
  </si>
  <si>
    <t>Parete SUD</t>
  </si>
  <si>
    <t>parete N</t>
  </si>
  <si>
    <t>vetrata N</t>
  </si>
  <si>
    <t>parete S</t>
  </si>
  <si>
    <t>vetrata S</t>
  </si>
  <si>
    <t>Si assume un coefficiente globale per i ponti termici pari al +30% delle dispersioni</t>
  </si>
  <si>
    <t>dal 15 ottobre al 14 aprile = 183 giorni</t>
  </si>
  <si>
    <t>senza le domeniche e festività</t>
  </si>
  <si>
    <t>w  --&gt; PC da 250w a carico massimo</t>
  </si>
  <si>
    <t>Computers (24) al 50% di carico</t>
  </si>
  <si>
    <t>vapore emesso dalle persone</t>
  </si>
  <si>
    <t>Serramenti telaio ferro e vetro singolo</t>
  </si>
  <si>
    <t>cappotto stiferite</t>
  </si>
  <si>
    <t>controsof. in poliuretano</t>
  </si>
  <si>
    <t>CALCOLO DELLE TRASMITTANZE PARETI OPACHE E TRASPARENTI</t>
  </si>
  <si>
    <t>Serramenti camere doppia telaio in PVC</t>
  </si>
  <si>
    <t>tetto (come pavimento)</t>
  </si>
  <si>
    <t>NB: dovrei raffrescare !!!!</t>
  </si>
  <si>
    <t>CONTROSOFFITTO  40€/m2</t>
  </si>
  <si>
    <t>SERRAMENTI 400€/m2</t>
  </si>
  <si>
    <t>CAPPOTTO 40 €/m2</t>
  </si>
  <si>
    <t xml:space="preserve">m </t>
  </si>
  <si>
    <t>Q tot invernale PDC+VMC</t>
  </si>
  <si>
    <t>Riscaldamento con VMC ad alta efficienza</t>
  </si>
  <si>
    <t>Costo Kwh termico</t>
  </si>
  <si>
    <t>COSTO IMPIANTO PDC</t>
  </si>
  <si>
    <t>COSTO IMPIANTO VMC</t>
  </si>
  <si>
    <t>COSTO IMPIANTO PDC e VMC</t>
  </si>
  <si>
    <t>Rf del pavimento (esclusa hi)</t>
  </si>
  <si>
    <t>Si assume un coefficiente globale per i ponti termici pari al +25% delle dispersioni</t>
  </si>
  <si>
    <t>Costo termico Kwh CH4 o equiv.</t>
  </si>
  <si>
    <t xml:space="preserve">Dopo 20 anni il risparmio è di </t>
  </si>
  <si>
    <t>Risparmio in TEP / anno</t>
  </si>
  <si>
    <t>Produzione di CO2 evitata /anno</t>
  </si>
  <si>
    <t>Volume</t>
  </si>
  <si>
    <t>m3</t>
  </si>
  <si>
    <t>s  --&gt; 1h</t>
  </si>
  <si>
    <t>a regime sto scaldando ambiente !!!!!!</t>
  </si>
  <si>
    <t>l'impianto si dimensiona affinchè porti a 20°C</t>
  </si>
  <si>
    <t>la temperatura dalle 7:00 alle 8:00 di mattina</t>
  </si>
  <si>
    <t>Vol. ambiente da riscaldare</t>
  </si>
  <si>
    <t>tempo riscaldamento</t>
  </si>
  <si>
    <t>m aria interna da riscaldare</t>
  </si>
  <si>
    <t>VMC 90%</t>
  </si>
  <si>
    <t xml:space="preserve">Ti alle 7:00 di mattina </t>
  </si>
  <si>
    <t>DIMENSIONAMENTO IMPIANTO CLIMATIZZAZIONE</t>
  </si>
  <si>
    <t>Qs max. (dispersioni)</t>
  </si>
  <si>
    <t xml:space="preserve">w </t>
  </si>
  <si>
    <t>°C --&gt; ipotizzo che di notte ambiente si raffreddi di 5°C</t>
  </si>
  <si>
    <t>Pot. per riscaldare aria in 1 ora</t>
  </si>
  <si>
    <t>Pot. totale riscaldamento</t>
  </si>
  <si>
    <t>w  --&gt; forniti da impianto attuale a FANCOILS</t>
  </si>
  <si>
    <t>Q ventilazione VMC 90%</t>
  </si>
  <si>
    <t>Portata di rinnovo per persone presenti con VMC</t>
  </si>
  <si>
    <t>Potenza termica riscaldam.</t>
  </si>
  <si>
    <t>watt --&gt; potenza necessaria a portare da 15°C a 20°C in 1h ambiente</t>
  </si>
  <si>
    <t>m3   riferiti all'altezza 5m</t>
  </si>
  <si>
    <t>w  --&gt; dispersione max. a gennaio con -2°C</t>
  </si>
  <si>
    <t>Costo indicativo per il riscaldamento invernale (solo per riportare a 20°C la temperatura mattina!!)</t>
  </si>
  <si>
    <t>h  per portare da 15°C a 20°C alle 8:00 e alle 18:00 aria interna</t>
  </si>
  <si>
    <t>rendimento tot. impianto risc.</t>
  </si>
  <si>
    <t>TA finale ambiente</t>
  </si>
  <si>
    <t>SCOP pompa di calore per risc.</t>
  </si>
  <si>
    <t>Potenza elettrica PDC</t>
  </si>
  <si>
    <t>Rendimento distribuzione calore</t>
  </si>
  <si>
    <t>Q totale ripristino 20°C</t>
  </si>
  <si>
    <t>Potenza elettrica PDC riscaldam.</t>
  </si>
  <si>
    <t>Costo elettrico Kwh</t>
  </si>
  <si>
    <t>PDC da 1,2Kw per acqua calda</t>
  </si>
  <si>
    <t>Costo elet. + manutenzione VMC</t>
  </si>
  <si>
    <t>Portata di rinnovo per persone (senza recupero calore)</t>
  </si>
  <si>
    <t>Costo elet. + manutenzione vent.</t>
  </si>
  <si>
    <t>€/anno</t>
  </si>
  <si>
    <t>Energia termica per dispersioni</t>
  </si>
  <si>
    <t>Potenza termica ripristino 20°C</t>
  </si>
  <si>
    <t>Energia termica tot. inverno</t>
  </si>
  <si>
    <t>calore da fornire a regime</t>
  </si>
  <si>
    <t>Ore di riscaldamento ripristino 20°</t>
  </si>
  <si>
    <t>h  per portare da 17°C a 20°C alle 8:00 e alle 18:00 aria interna</t>
  </si>
  <si>
    <t>watt --&gt; potenza necessaria a portare da 17°C a 20°C in 1h ambiente</t>
  </si>
  <si>
    <t>°C --&gt; ipotizzo che di notte ambiente si raffreddi di 3°C di notte</t>
  </si>
  <si>
    <t>CONTROSOFFITTO  50€/m2</t>
  </si>
  <si>
    <t>4 VENTILATORI DA PARETE</t>
  </si>
  <si>
    <t>La ventilazione viene fatta con 4 ventilatori da parete (2 in aspirazione e 2 in mandata)</t>
  </si>
  <si>
    <t>Percentuale di utilizzo laboratori</t>
  </si>
  <si>
    <t>Q sensibile</t>
  </si>
  <si>
    <t>Q latente (vapore prodotto)</t>
  </si>
  <si>
    <t>Rinnovo MIN. a persona</t>
  </si>
  <si>
    <t>Totale aria rinnovo</t>
  </si>
  <si>
    <t>w  --&gt; dispersi per il rinnovo dell'aria</t>
  </si>
  <si>
    <t>Q latente totale</t>
  </si>
  <si>
    <t>Luci (20 tubi LED 18 w)</t>
  </si>
  <si>
    <t>Energia termica ripristino 20°C</t>
  </si>
  <si>
    <t>Ore di riscaldamento a regime</t>
  </si>
  <si>
    <t>Tempo ritorno dell'investimento</t>
  </si>
  <si>
    <t>DIMENSIONAMENTO IMPIANTO DI PRERISCALDAMENTO</t>
  </si>
  <si>
    <t>Volume ambiente da riscaldare</t>
  </si>
  <si>
    <t>Tempo preriscaldamento</t>
  </si>
  <si>
    <t>Qs max. (dispersioni a -2°C)</t>
  </si>
  <si>
    <t>Pot. totale MAX. riscaldamento</t>
  </si>
  <si>
    <t>Analisi laboratorio CAD 2  IIS Castelli BS</t>
  </si>
  <si>
    <t>Intervento effettuato</t>
  </si>
  <si>
    <t>Tutti i serramenti vengono esclusi si adotterà illuminazione con tubi a LED da 18 watt.</t>
  </si>
  <si>
    <t>Controsoffittatura in stiferite (poliuretano) da 10 cm a 5 m di altezza.</t>
  </si>
  <si>
    <t>Per l'areazione si impiega una VMC ad alata efficienza (90%).</t>
  </si>
  <si>
    <t>Costo indicativo per il riscaldamento invernale (solo per riportare a 20°C la temperatura)</t>
  </si>
  <si>
    <t xml:space="preserve">Kwh    </t>
  </si>
  <si>
    <t>h                 1 h per portare da 17°C a 20°C alle 8:00 e alle 18:00 aria interna</t>
  </si>
  <si>
    <t xml:space="preserve"> il pomeriggio basta 0,5 h visto il contributo gratuito</t>
  </si>
  <si>
    <t>Costo elettrico luci</t>
  </si>
  <si>
    <t>Kwh elettrici luci</t>
  </si>
  <si>
    <t>Costo kwh elettrico</t>
  </si>
  <si>
    <t>€/kwh</t>
  </si>
  <si>
    <t>Luci (8x2 x 2 file neon 36 w)</t>
  </si>
  <si>
    <t>Luci (8x2 x 2 file tubi led 18 w)</t>
  </si>
  <si>
    <t>Risparmio elettrico luci</t>
  </si>
  <si>
    <t>€/anno  --&gt; inoltre i led durano fino a 5 volte di +</t>
  </si>
  <si>
    <t>Risparmio annuo termico</t>
  </si>
  <si>
    <t>Risparmio annuo elettrico luci</t>
  </si>
  <si>
    <t>€  con 50 €/anno di consumo elettrico</t>
  </si>
  <si>
    <t>dal 15 ottobre al 15aprile = 183 giorni</t>
  </si>
  <si>
    <t>A vetrata 1</t>
  </si>
  <si>
    <t>A vetrata 2</t>
  </si>
  <si>
    <t>Kwh  all'anno</t>
  </si>
  <si>
    <t>Potenza dispersa per areare i locali</t>
  </si>
  <si>
    <t>Kw</t>
  </si>
  <si>
    <t>w pari a</t>
  </si>
  <si>
    <t>h  7 ore mattina + 5 ore corso serale + * 2 h di preriscaldamento</t>
  </si>
  <si>
    <t>* L'impianto viene spento alle 14:00 e alle 22:00.</t>
  </si>
  <si>
    <t>Di notte la temperatura si porta a 15-17°C (da verificare …).</t>
  </si>
  <si>
    <t>In 1.5 ora si riporta riportare la temperatura a 20°C la mattina</t>
  </si>
  <si>
    <t>In 0.5 ore il pomeriggio si riporta a 20°C per il serale.</t>
  </si>
  <si>
    <t>escluse le domeniche e festività</t>
  </si>
  <si>
    <t>Energia Kwh elettrici luci</t>
  </si>
  <si>
    <r>
      <t xml:space="preserve">Q ventilazione= m Ct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</si>
  <si>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h = 4 m</t>
  </si>
  <si>
    <t>Per l'areazione si impiegano 4 ventilatori da parete (2 in estrazione e 2 in mandata).</t>
  </si>
  <si>
    <t>h  7 ore mattina + 5 ore corso serale + 1 ora di preriscaldamento</t>
  </si>
  <si>
    <t>Vol/h  &gt; 0,5 minimo previsto  e Ra</t>
  </si>
  <si>
    <t>m3/m2  &gt; 1/8 minimo</t>
  </si>
  <si>
    <t>LUCERNARI PVC</t>
  </si>
  <si>
    <t>€  a 300 €/m2 installati</t>
  </si>
  <si>
    <t>I serramenti verticali adiacenti alla copertura vengono esclusi dalle dispersioni.</t>
  </si>
  <si>
    <t>Si adotterà illuminazione artificale con tubi a LED da 18 watt.</t>
  </si>
  <si>
    <t>Le finestrature sulle pareti a N e S garantiscono un minimo di illuminazione naturale.</t>
  </si>
  <si>
    <r>
      <t xml:space="preserve">Controsoffittatura in </t>
    </r>
    <r>
      <rPr>
        <sz val="11"/>
        <color rgb="FFFF0000"/>
        <rFont val="Calibri"/>
        <family val="2"/>
        <scheme val="minor"/>
      </rPr>
      <t>stiferite (poliuretano)</t>
    </r>
    <r>
      <rPr>
        <sz val="11"/>
        <color theme="1"/>
        <rFont val="Calibri"/>
        <family val="2"/>
        <scheme val="minor"/>
      </rPr>
      <t xml:space="preserve"> da 10 cm a 5,25 m di altezza.</t>
    </r>
  </si>
  <si>
    <t>m3   riferiti all'altezza 5,25 m</t>
  </si>
  <si>
    <t>vetrate nel tetto</t>
  </si>
  <si>
    <t>cappotto vacunanax</t>
  </si>
  <si>
    <t>blocco cemento 40 cm</t>
  </si>
  <si>
    <t>V/n</t>
  </si>
  <si>
    <t>Q ventilazione VMC 87%</t>
  </si>
  <si>
    <t>kWh</t>
  </si>
  <si>
    <t>kW</t>
  </si>
  <si>
    <t>Costo manutenzione VMC</t>
  </si>
  <si>
    <t>VMC vortice comprensiva di</t>
  </si>
  <si>
    <t>impianto fotovoltaico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</si>
</sst>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2" borderId="0" xfId="0" applyNumberFormat="1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0" xfId="0" applyNumberFormat="1" applyFill="1"/>
    <xf numFmtId="165" fontId="0" fillId="2" borderId="0" xfId="0" applyNumberFormat="1" applyFill="1"/>
    <xf numFmtId="165" fontId="0" fillId="2" borderId="1" xfId="0" applyNumberFormat="1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2" fillId="2" borderId="0" xfId="0" applyFont="1" applyFill="1"/>
    <xf numFmtId="0" fontId="0" fillId="4" borderId="0" xfId="0" applyFill="1"/>
    <xf numFmtId="0" fontId="0" fillId="2" borderId="0" xfId="0" applyFont="1" applyFill="1"/>
    <xf numFmtId="1" fontId="0" fillId="2" borderId="1" xfId="0" applyNumberFormat="1" applyFill="1" applyBorder="1"/>
    <xf numFmtId="0" fontId="1" fillId="5" borderId="0" xfId="0" applyFont="1" applyFill="1"/>
    <xf numFmtId="2" fontId="1" fillId="2" borderId="1" xfId="0" applyNumberFormat="1" applyFont="1" applyFill="1" applyBorder="1"/>
    <xf numFmtId="0" fontId="0" fillId="2" borderId="0" xfId="0" quotePrefix="1" applyFill="1"/>
    <xf numFmtId="0" fontId="0" fillId="5" borderId="0" xfId="0" applyFill="1"/>
    <xf numFmtId="1" fontId="0" fillId="2" borderId="0" xfId="0" applyNumberFormat="1" applyFill="1"/>
    <xf numFmtId="1" fontId="0" fillId="4" borderId="0" xfId="0" applyNumberFormat="1" applyFill="1"/>
    <xf numFmtId="0" fontId="5" fillId="2" borderId="0" xfId="0" applyFont="1" applyFill="1"/>
    <xf numFmtId="0" fontId="0" fillId="2" borderId="0" xfId="0" applyFill="1" applyAlignment="1">
      <alignment horizontal="right"/>
    </xf>
    <xf numFmtId="164" fontId="0" fillId="5" borderId="0" xfId="0" applyNumberFormat="1" applyFill="1"/>
    <xf numFmtId="0" fontId="0" fillId="3" borderId="1" xfId="0" applyFill="1" applyBorder="1" applyAlignment="1">
      <alignment horizontal="right"/>
    </xf>
    <xf numFmtId="9" fontId="0" fillId="2" borderId="0" xfId="0" applyNumberFormat="1" applyFill="1"/>
    <xf numFmtId="0" fontId="1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5" fillId="2" borderId="0" xfId="0" applyFont="1" applyFill="1" applyBorder="1"/>
    <xf numFmtId="2" fontId="0" fillId="2" borderId="0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1" xfId="0" applyFill="1" applyBorder="1"/>
    <xf numFmtId="165" fontId="0" fillId="5" borderId="1" xfId="0" applyNumberFormat="1" applyFill="1" applyBorder="1"/>
    <xf numFmtId="1" fontId="0" fillId="5" borderId="0" xfId="0" applyNumberFormat="1" applyFill="1"/>
    <xf numFmtId="0" fontId="0" fillId="3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2" fontId="0" fillId="5" borderId="0" xfId="0" applyNumberFormat="1" applyFill="1"/>
    <xf numFmtId="1" fontId="0" fillId="2" borderId="9" xfId="0" applyNumberFormat="1" applyFill="1" applyBorder="1"/>
    <xf numFmtId="0" fontId="0" fillId="3" borderId="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9" xfId="0" applyFill="1" applyBorder="1"/>
    <xf numFmtId="1" fontId="1" fillId="5" borderId="0" xfId="0" applyNumberFormat="1" applyFont="1" applyFill="1"/>
    <xf numFmtId="0" fontId="6" fillId="2" borderId="0" xfId="0" applyFont="1" applyFill="1"/>
    <xf numFmtId="1" fontId="0" fillId="2" borderId="22" xfId="0" applyNumberFormat="1" applyFill="1" applyBorder="1"/>
    <xf numFmtId="1" fontId="0" fillId="2" borderId="19" xfId="0" applyNumberFormat="1" applyFill="1" applyBorder="1"/>
    <xf numFmtId="0" fontId="0" fillId="5" borderId="23" xfId="0" applyFill="1" applyBorder="1"/>
    <xf numFmtId="1" fontId="0" fillId="5" borderId="24" xfId="0" applyNumberFormat="1" applyFill="1" applyBorder="1"/>
    <xf numFmtId="0" fontId="0" fillId="5" borderId="24" xfId="0" applyFill="1" applyBorder="1"/>
    <xf numFmtId="0" fontId="0" fillId="5" borderId="25" xfId="0" applyFill="1" applyBorder="1"/>
    <xf numFmtId="0" fontId="5" fillId="5" borderId="0" xfId="0" applyFont="1" applyFill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7" xfId="0" applyFill="1" applyBorder="1"/>
    <xf numFmtId="0" fontId="0" fillId="5" borderId="0" xfId="0" applyFill="1" applyBorder="1"/>
    <xf numFmtId="0" fontId="0" fillId="5" borderId="18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9" fillId="4" borderId="1" xfId="0" applyFont="1" applyFill="1" applyBorder="1"/>
    <xf numFmtId="164" fontId="9" fillId="4" borderId="1" xfId="0" applyNumberFormat="1" applyFont="1" applyFill="1" applyBorder="1"/>
    <xf numFmtId="2" fontId="9" fillId="4" borderId="1" xfId="0" applyNumberFormat="1" applyFont="1" applyFill="1" applyBorder="1"/>
    <xf numFmtId="1" fontId="9" fillId="4" borderId="1" xfId="0" applyNumberFormat="1" applyFont="1" applyFill="1" applyBorder="1"/>
    <xf numFmtId="0" fontId="0" fillId="2" borderId="10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452803</xdr:colOff>
      <xdr:row>118</xdr:row>
      <xdr:rowOff>54217</xdr:rowOff>
    </xdr:from>
    <xdr:to>
      <xdr:col>8</xdr:col>
      <xdr:colOff>656003</xdr:colOff>
      <xdr:row>127</xdr:row>
      <xdr:rowOff>112833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1553" y="21104467"/>
          <a:ext cx="2667000" cy="171596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96227</xdr:colOff>
      <xdr:row>95</xdr:row>
      <xdr:rowOff>34681</xdr:rowOff>
    </xdr:from>
    <xdr:to>
      <xdr:col>0</xdr:col>
      <xdr:colOff>1626604</xdr:colOff>
      <xdr:row>100</xdr:row>
      <xdr:rowOff>28331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27" y="16836781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35550</xdr:colOff>
      <xdr:row>27</xdr:row>
      <xdr:rowOff>9639</xdr:rowOff>
    </xdr:from>
    <xdr:to>
      <xdr:col>10</xdr:col>
      <xdr:colOff>469502</xdr:colOff>
      <xdr:row>31</xdr:row>
      <xdr:rowOff>166076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91850" y="5000739"/>
          <a:ext cx="2643752" cy="89303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488462</xdr:colOff>
      <xdr:row>131</xdr:row>
      <xdr:rowOff>39077</xdr:rowOff>
    </xdr:from>
    <xdr:to>
      <xdr:col>9</xdr:col>
      <xdr:colOff>576384</xdr:colOff>
      <xdr:row>137</xdr:row>
      <xdr:rowOff>122116</xdr:rowOff>
    </xdr:to>
    <xdr:sp macro="" textlink="">
      <xdr:nvSpPr>
        <xdr:cNvPr id="5" name="Rettangolo 4"/>
        <xdr:cNvSpPr/>
      </xdr:nvSpPr>
      <xdr:spPr>
        <a:xfrm>
          <a:off x="5682762" y="23483277"/>
          <a:ext cx="2183422" cy="11879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133</xdr:row>
      <xdr:rowOff>33378</xdr:rowOff>
    </xdr:from>
    <xdr:to>
      <xdr:col>7</xdr:col>
      <xdr:colOff>205154</xdr:colOff>
      <xdr:row>134</xdr:row>
      <xdr:rowOff>115603</xdr:rowOff>
    </xdr:to>
    <xdr:sp macro="" textlink="">
      <xdr:nvSpPr>
        <xdr:cNvPr id="6" name="Figura a mano libera 5"/>
        <xdr:cNvSpPr/>
      </xdr:nvSpPr>
      <xdr:spPr>
        <a:xfrm rot="12308514">
          <a:off x="5204070" y="23845878"/>
          <a:ext cx="957384" cy="266375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136</xdr:row>
      <xdr:rowOff>4884</xdr:rowOff>
    </xdr:from>
    <xdr:to>
      <xdr:col>8</xdr:col>
      <xdr:colOff>664307</xdr:colOff>
      <xdr:row>137</xdr:row>
      <xdr:rowOff>102577</xdr:rowOff>
    </xdr:to>
    <xdr:sp macro="" textlink="">
      <xdr:nvSpPr>
        <xdr:cNvPr id="7" name="Rettangolo 6"/>
        <xdr:cNvSpPr/>
      </xdr:nvSpPr>
      <xdr:spPr>
        <a:xfrm>
          <a:off x="6481396" y="24369834"/>
          <a:ext cx="615461" cy="281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134</xdr:row>
      <xdr:rowOff>109902</xdr:rowOff>
    </xdr:from>
    <xdr:to>
      <xdr:col>8</xdr:col>
      <xdr:colOff>144096</xdr:colOff>
      <xdr:row>137</xdr:row>
      <xdr:rowOff>65940</xdr:rowOff>
    </xdr:to>
    <xdr:sp macro="" textlink="">
      <xdr:nvSpPr>
        <xdr:cNvPr id="8" name="Arco 7"/>
        <xdr:cNvSpPr/>
      </xdr:nvSpPr>
      <xdr:spPr>
        <a:xfrm rot="7776202">
          <a:off x="6020778" y="24059171"/>
          <a:ext cx="508488" cy="603249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133</xdr:row>
      <xdr:rowOff>166077</xdr:rowOff>
    </xdr:from>
    <xdr:to>
      <xdr:col>8</xdr:col>
      <xdr:colOff>532424</xdr:colOff>
      <xdr:row>136</xdr:row>
      <xdr:rowOff>122115</xdr:rowOff>
    </xdr:to>
    <xdr:sp macro="" textlink="">
      <xdr:nvSpPr>
        <xdr:cNvPr id="9" name="Arco 8"/>
        <xdr:cNvSpPr/>
      </xdr:nvSpPr>
      <xdr:spPr>
        <a:xfrm rot="3599081">
          <a:off x="6409106" y="23931196"/>
          <a:ext cx="508488" cy="603249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131</xdr:row>
      <xdr:rowOff>58615</xdr:rowOff>
    </xdr:from>
    <xdr:to>
      <xdr:col>9</xdr:col>
      <xdr:colOff>371239</xdr:colOff>
      <xdr:row>132</xdr:row>
      <xdr:rowOff>53732</xdr:rowOff>
    </xdr:to>
    <xdr:sp macro="" textlink="">
      <xdr:nvSpPr>
        <xdr:cNvPr id="10" name="CasellaDiTesto 9"/>
        <xdr:cNvSpPr txBox="1"/>
      </xdr:nvSpPr>
      <xdr:spPr>
        <a:xfrm>
          <a:off x="5741377" y="23502815"/>
          <a:ext cx="1919662" cy="179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132</xdr:row>
      <xdr:rowOff>29310</xdr:rowOff>
    </xdr:from>
    <xdr:to>
      <xdr:col>6</xdr:col>
      <xdr:colOff>39077</xdr:colOff>
      <xdr:row>134</xdr:row>
      <xdr:rowOff>4885</xdr:rowOff>
    </xdr:to>
    <xdr:sp macro="" textlink="">
      <xdr:nvSpPr>
        <xdr:cNvPr id="11" name="CasellaDiTesto 10"/>
        <xdr:cNvSpPr txBox="1"/>
      </xdr:nvSpPr>
      <xdr:spPr>
        <a:xfrm>
          <a:off x="4679949" y="23657660"/>
          <a:ext cx="553428" cy="34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136</xdr:row>
      <xdr:rowOff>63500</xdr:rowOff>
    </xdr:from>
    <xdr:to>
      <xdr:col>9</xdr:col>
      <xdr:colOff>312616</xdr:colOff>
      <xdr:row>137</xdr:row>
      <xdr:rowOff>58614</xdr:rowOff>
    </xdr:to>
    <xdr:sp macro="" textlink="">
      <xdr:nvSpPr>
        <xdr:cNvPr id="12" name="CasellaDiTesto 11"/>
        <xdr:cNvSpPr txBox="1"/>
      </xdr:nvSpPr>
      <xdr:spPr>
        <a:xfrm>
          <a:off x="7140820" y="24428450"/>
          <a:ext cx="461596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136</xdr:row>
      <xdr:rowOff>68384</xdr:rowOff>
    </xdr:from>
    <xdr:to>
      <xdr:col>7</xdr:col>
      <xdr:colOff>161192</xdr:colOff>
      <xdr:row>137</xdr:row>
      <xdr:rowOff>63498</xdr:rowOff>
    </xdr:to>
    <xdr:sp macro="" textlink="">
      <xdr:nvSpPr>
        <xdr:cNvPr id="13" name="CasellaDiTesto 12"/>
        <xdr:cNvSpPr txBox="1"/>
      </xdr:nvSpPr>
      <xdr:spPr>
        <a:xfrm>
          <a:off x="5853723" y="24433334"/>
          <a:ext cx="263769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133</xdr:row>
      <xdr:rowOff>43961</xdr:rowOff>
    </xdr:from>
    <xdr:to>
      <xdr:col>9</xdr:col>
      <xdr:colOff>297962</xdr:colOff>
      <xdr:row>134</xdr:row>
      <xdr:rowOff>39075</xdr:rowOff>
    </xdr:to>
    <xdr:sp macro="" textlink="">
      <xdr:nvSpPr>
        <xdr:cNvPr id="14" name="CasellaDiTesto 13"/>
        <xdr:cNvSpPr txBox="1"/>
      </xdr:nvSpPr>
      <xdr:spPr>
        <a:xfrm>
          <a:off x="6759819" y="23856461"/>
          <a:ext cx="827943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136</xdr:row>
      <xdr:rowOff>146538</xdr:rowOff>
    </xdr:from>
    <xdr:to>
      <xdr:col>8</xdr:col>
      <xdr:colOff>664306</xdr:colOff>
      <xdr:row>136</xdr:row>
      <xdr:rowOff>146538</xdr:rowOff>
    </xdr:to>
    <xdr:cxnSp macro="">
      <xdr:nvCxnSpPr>
        <xdr:cNvPr id="15" name="Connettore 1 14"/>
        <xdr:cNvCxnSpPr>
          <a:stCxn id="7" idx="1"/>
          <a:endCxn id="7" idx="3"/>
        </xdr:cNvCxnSpPr>
      </xdr:nvCxnSpPr>
      <xdr:spPr>
        <a:xfrm rot="10800000" flipH="1">
          <a:off x="6481395" y="24511488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361460</xdr:colOff>
      <xdr:row>80</xdr:row>
      <xdr:rowOff>136770</xdr:rowOff>
    </xdr:from>
    <xdr:to>
      <xdr:col>8</xdr:col>
      <xdr:colOff>678961</xdr:colOff>
      <xdr:row>85</xdr:row>
      <xdr:rowOff>24423</xdr:rowOff>
    </xdr:to>
    <xdr:sp macro="" textlink="">
      <xdr:nvSpPr>
        <xdr:cNvPr id="16" name="CasellaDiTesto 15"/>
        <xdr:cNvSpPr txBox="1"/>
      </xdr:nvSpPr>
      <xdr:spPr>
        <a:xfrm>
          <a:off x="3587260" y="14176620"/>
          <a:ext cx="3524251" cy="808403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presenza</a:t>
          </a:r>
          <a:r>
            <a:rPr lang="it-IT" sz="1100" baseline="0"/>
            <a:t> del controsoffitto isolato riduce di quasi 10 volte il fabbisogno termico.</a:t>
          </a:r>
        </a:p>
        <a:p>
          <a:r>
            <a:rPr lang="it-IT" sz="1100" baseline="0"/>
            <a:t>L'intervento è semplice ed ha una vita utile molta alta.</a:t>
          </a:r>
        </a:p>
        <a:p>
          <a:r>
            <a:rPr lang="it-IT" sz="1100" baseline="0"/>
            <a:t>Il risparmio a 10 anni supera i 50.000 euro!</a:t>
          </a:r>
          <a:endParaRPr lang="it-IT" sz="1100"/>
        </a:p>
      </xdr:txBody>
    </xdr:sp>
    <xdr:clientData/>
  </xdr:twoCellAnchor>
  <xdr:twoCellAnchor editAs="oneCell">
    <xdr:from>
      <xdr:col>6</xdr:col>
      <xdr:colOff>44198</xdr:colOff>
      <xdr:row>52</xdr:row>
      <xdr:rowOff>113811</xdr:rowOff>
    </xdr:from>
    <xdr:to>
      <xdr:col>8</xdr:col>
      <xdr:colOff>840154</xdr:colOff>
      <xdr:row>61</xdr:row>
      <xdr:rowOff>183727</xdr:rowOff>
    </xdr:to>
    <xdr:pic>
      <xdr:nvPicPr>
        <xdr:cNvPr id="17" name="Picture 1" descr="800m³/h 680m³ / h Aspiratore Bagno Estrattore Aria di Reversibile a 2 Vie Ventola con Otturatore Interruttore Coulisse per..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38498" y="9708661"/>
          <a:ext cx="2034206" cy="172726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452803</xdr:colOff>
      <xdr:row>118</xdr:row>
      <xdr:rowOff>54217</xdr:rowOff>
    </xdr:from>
    <xdr:to>
      <xdr:col>8</xdr:col>
      <xdr:colOff>656003</xdr:colOff>
      <xdr:row>127</xdr:row>
      <xdr:rowOff>112833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3995" y="18830679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96227</xdr:colOff>
      <xdr:row>95</xdr:row>
      <xdr:rowOff>34681</xdr:rowOff>
    </xdr:from>
    <xdr:to>
      <xdr:col>0</xdr:col>
      <xdr:colOff>1626604</xdr:colOff>
      <xdr:row>100</xdr:row>
      <xdr:rowOff>28331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27" y="13852281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35550</xdr:colOff>
      <xdr:row>27</xdr:row>
      <xdr:rowOff>9639</xdr:rowOff>
    </xdr:from>
    <xdr:to>
      <xdr:col>10</xdr:col>
      <xdr:colOff>469502</xdr:colOff>
      <xdr:row>31</xdr:row>
      <xdr:rowOff>166076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94781" y="4664677"/>
          <a:ext cx="2646683" cy="898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488462</xdr:colOff>
      <xdr:row>131</xdr:row>
      <xdr:rowOff>39077</xdr:rowOff>
    </xdr:from>
    <xdr:to>
      <xdr:col>9</xdr:col>
      <xdr:colOff>576384</xdr:colOff>
      <xdr:row>137</xdr:row>
      <xdr:rowOff>122116</xdr:rowOff>
    </xdr:to>
    <xdr:sp macro="" textlink="">
      <xdr:nvSpPr>
        <xdr:cNvPr id="6" name="Rettangolo 5"/>
        <xdr:cNvSpPr/>
      </xdr:nvSpPr>
      <xdr:spPr>
        <a:xfrm>
          <a:off x="5562112" y="20486077"/>
          <a:ext cx="2183422" cy="11879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133</xdr:row>
      <xdr:rowOff>33378</xdr:rowOff>
    </xdr:from>
    <xdr:to>
      <xdr:col>7</xdr:col>
      <xdr:colOff>205154</xdr:colOff>
      <xdr:row>134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3420" y="20848678"/>
          <a:ext cx="957384" cy="266375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136</xdr:row>
      <xdr:rowOff>4884</xdr:rowOff>
    </xdr:from>
    <xdr:to>
      <xdr:col>8</xdr:col>
      <xdr:colOff>664307</xdr:colOff>
      <xdr:row>137</xdr:row>
      <xdr:rowOff>102577</xdr:rowOff>
    </xdr:to>
    <xdr:sp macro="" textlink="">
      <xdr:nvSpPr>
        <xdr:cNvPr id="8" name="Rettangolo 7"/>
        <xdr:cNvSpPr/>
      </xdr:nvSpPr>
      <xdr:spPr>
        <a:xfrm>
          <a:off x="6360746" y="21372634"/>
          <a:ext cx="615461" cy="281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134</xdr:row>
      <xdr:rowOff>109902</xdr:rowOff>
    </xdr:from>
    <xdr:to>
      <xdr:col>8</xdr:col>
      <xdr:colOff>144096</xdr:colOff>
      <xdr:row>137</xdr:row>
      <xdr:rowOff>65940</xdr:rowOff>
    </xdr:to>
    <xdr:sp macro="" textlink="">
      <xdr:nvSpPr>
        <xdr:cNvPr id="9" name="Arco 8"/>
        <xdr:cNvSpPr/>
      </xdr:nvSpPr>
      <xdr:spPr>
        <a:xfrm rot="7776202">
          <a:off x="5900128" y="21061971"/>
          <a:ext cx="508488" cy="603249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133</xdr:row>
      <xdr:rowOff>166077</xdr:rowOff>
    </xdr:from>
    <xdr:to>
      <xdr:col>8</xdr:col>
      <xdr:colOff>532424</xdr:colOff>
      <xdr:row>136</xdr:row>
      <xdr:rowOff>122115</xdr:rowOff>
    </xdr:to>
    <xdr:sp macro="" textlink="">
      <xdr:nvSpPr>
        <xdr:cNvPr id="10" name="Arco 9"/>
        <xdr:cNvSpPr/>
      </xdr:nvSpPr>
      <xdr:spPr>
        <a:xfrm rot="3599081">
          <a:off x="6288456" y="20933996"/>
          <a:ext cx="508488" cy="603249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131</xdr:row>
      <xdr:rowOff>58615</xdr:rowOff>
    </xdr:from>
    <xdr:to>
      <xdr:col>9</xdr:col>
      <xdr:colOff>371239</xdr:colOff>
      <xdr:row>132</xdr:row>
      <xdr:rowOff>53732</xdr:rowOff>
    </xdr:to>
    <xdr:sp macro="" textlink="">
      <xdr:nvSpPr>
        <xdr:cNvPr id="11" name="CasellaDiTesto 10"/>
        <xdr:cNvSpPr txBox="1"/>
      </xdr:nvSpPr>
      <xdr:spPr>
        <a:xfrm>
          <a:off x="5620727" y="20505615"/>
          <a:ext cx="1919662" cy="179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132</xdr:row>
      <xdr:rowOff>29310</xdr:rowOff>
    </xdr:from>
    <xdr:to>
      <xdr:col>6</xdr:col>
      <xdr:colOff>39077</xdr:colOff>
      <xdr:row>134</xdr:row>
      <xdr:rowOff>4885</xdr:rowOff>
    </xdr:to>
    <xdr:sp macro="" textlink="">
      <xdr:nvSpPr>
        <xdr:cNvPr id="12" name="CasellaDiTesto 11"/>
        <xdr:cNvSpPr txBox="1"/>
      </xdr:nvSpPr>
      <xdr:spPr>
        <a:xfrm>
          <a:off x="4559299" y="20660460"/>
          <a:ext cx="553428" cy="34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136</xdr:row>
      <xdr:rowOff>63500</xdr:rowOff>
    </xdr:from>
    <xdr:to>
      <xdr:col>9</xdr:col>
      <xdr:colOff>312616</xdr:colOff>
      <xdr:row>137</xdr:row>
      <xdr:rowOff>58614</xdr:rowOff>
    </xdr:to>
    <xdr:sp macro="" textlink="">
      <xdr:nvSpPr>
        <xdr:cNvPr id="13" name="CasellaDiTesto 12"/>
        <xdr:cNvSpPr txBox="1"/>
      </xdr:nvSpPr>
      <xdr:spPr>
        <a:xfrm>
          <a:off x="7020170" y="21431250"/>
          <a:ext cx="461596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136</xdr:row>
      <xdr:rowOff>68384</xdr:rowOff>
    </xdr:from>
    <xdr:to>
      <xdr:col>7</xdr:col>
      <xdr:colOff>161192</xdr:colOff>
      <xdr:row>137</xdr:row>
      <xdr:rowOff>63498</xdr:rowOff>
    </xdr:to>
    <xdr:sp macro="" textlink="">
      <xdr:nvSpPr>
        <xdr:cNvPr id="14" name="CasellaDiTesto 13"/>
        <xdr:cNvSpPr txBox="1"/>
      </xdr:nvSpPr>
      <xdr:spPr>
        <a:xfrm>
          <a:off x="5733073" y="21436134"/>
          <a:ext cx="263769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133</xdr:row>
      <xdr:rowOff>43961</xdr:rowOff>
    </xdr:from>
    <xdr:to>
      <xdr:col>9</xdr:col>
      <xdr:colOff>297962</xdr:colOff>
      <xdr:row>134</xdr:row>
      <xdr:rowOff>39075</xdr:rowOff>
    </xdr:to>
    <xdr:sp macro="" textlink="">
      <xdr:nvSpPr>
        <xdr:cNvPr id="15" name="CasellaDiTesto 14"/>
        <xdr:cNvSpPr txBox="1"/>
      </xdr:nvSpPr>
      <xdr:spPr>
        <a:xfrm>
          <a:off x="6639169" y="20859261"/>
          <a:ext cx="827943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136</xdr:row>
      <xdr:rowOff>146538</xdr:rowOff>
    </xdr:from>
    <xdr:to>
      <xdr:col>8</xdr:col>
      <xdr:colOff>664306</xdr:colOff>
      <xdr:row>136</xdr:row>
      <xdr:rowOff>146538</xdr:rowOff>
    </xdr:to>
    <xdr:cxnSp macro="">
      <xdr:nvCxnSpPr>
        <xdr:cNvPr id="16" name="Connettore 1 15"/>
        <xdr:cNvCxnSpPr>
          <a:stCxn id="8" idx="1"/>
          <a:endCxn id="8" idx="3"/>
        </xdr:cNvCxnSpPr>
      </xdr:nvCxnSpPr>
      <xdr:spPr>
        <a:xfrm rot="10800000" flipH="1">
          <a:off x="6360745" y="21514288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361460</xdr:colOff>
      <xdr:row>80</xdr:row>
      <xdr:rowOff>136770</xdr:rowOff>
    </xdr:from>
    <xdr:to>
      <xdr:col>8</xdr:col>
      <xdr:colOff>678961</xdr:colOff>
      <xdr:row>85</xdr:row>
      <xdr:rowOff>24423</xdr:rowOff>
    </xdr:to>
    <xdr:sp macro="" textlink="">
      <xdr:nvSpPr>
        <xdr:cNvPr id="17" name="CasellaDiTesto 16"/>
        <xdr:cNvSpPr txBox="1"/>
      </xdr:nvSpPr>
      <xdr:spPr>
        <a:xfrm>
          <a:off x="3590191" y="13911385"/>
          <a:ext cx="3526693" cy="81573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presenza</a:t>
          </a:r>
          <a:r>
            <a:rPr lang="it-IT" sz="1100" baseline="0"/>
            <a:t> del controsoffitto isolato riduce di quasi 10 volte il fabbisogno termico.</a:t>
          </a:r>
        </a:p>
        <a:p>
          <a:r>
            <a:rPr lang="it-IT" sz="1100" baseline="0"/>
            <a:t>L'intervento è semplice ed ha una vita utile molta alta.</a:t>
          </a:r>
        </a:p>
        <a:p>
          <a:r>
            <a:rPr lang="it-IT" sz="1100" baseline="0"/>
            <a:t>Il risparmio a 10 anni supera i 50.000 euro!</a:t>
          </a:r>
          <a:endParaRPr lang="it-IT" sz="1100"/>
        </a:p>
      </xdr:txBody>
    </xdr:sp>
    <xdr:clientData/>
  </xdr:twoCellAnchor>
  <xdr:twoCellAnchor editAs="oneCell">
    <xdr:from>
      <xdr:col>6</xdr:col>
      <xdr:colOff>44198</xdr:colOff>
      <xdr:row>52</xdr:row>
      <xdr:rowOff>113811</xdr:rowOff>
    </xdr:from>
    <xdr:to>
      <xdr:col>8</xdr:col>
      <xdr:colOff>840154</xdr:colOff>
      <xdr:row>61</xdr:row>
      <xdr:rowOff>183727</xdr:rowOff>
    </xdr:to>
    <xdr:pic>
      <xdr:nvPicPr>
        <xdr:cNvPr id="1025" name="Picture 1" descr="800m³/h 680m³ / h Aspiratore Bagno Estrattore Aria di Reversibile a 2 Vie Ventola con Otturatore Interruttore Coulisse per..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41429" y="9223619"/>
          <a:ext cx="2036648" cy="174045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447919</xdr:colOff>
      <xdr:row>100</xdr:row>
      <xdr:rowOff>98179</xdr:rowOff>
    </xdr:from>
    <xdr:to>
      <xdr:col>8</xdr:col>
      <xdr:colOff>651119</xdr:colOff>
      <xdr:row>109</xdr:row>
      <xdr:rowOff>156794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6996" y="18010064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96227</xdr:colOff>
      <xdr:row>78</xdr:row>
      <xdr:rowOff>34681</xdr:rowOff>
    </xdr:from>
    <xdr:to>
      <xdr:col>0</xdr:col>
      <xdr:colOff>1626604</xdr:colOff>
      <xdr:row>83</xdr:row>
      <xdr:rowOff>28331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27" y="13960719"/>
          <a:ext cx="1530377" cy="921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25</xdr:row>
      <xdr:rowOff>0</xdr:rowOff>
    </xdr:from>
    <xdr:to>
      <xdr:col>12</xdr:col>
      <xdr:colOff>230011</xdr:colOff>
      <xdr:row>31</xdr:row>
      <xdr:rowOff>58616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77190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332154</xdr:colOff>
      <xdr:row>44</xdr:row>
      <xdr:rowOff>136768</xdr:rowOff>
    </xdr:from>
    <xdr:to>
      <xdr:col>8</xdr:col>
      <xdr:colOff>587185</xdr:colOff>
      <xdr:row>54</xdr:row>
      <xdr:rowOff>134814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231" y="7566268"/>
          <a:ext cx="2721762" cy="1854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488462</xdr:colOff>
      <xdr:row>114</xdr:row>
      <xdr:rowOff>39077</xdr:rowOff>
    </xdr:from>
    <xdr:to>
      <xdr:col>9</xdr:col>
      <xdr:colOff>576384</xdr:colOff>
      <xdr:row>120</xdr:row>
      <xdr:rowOff>122116</xdr:rowOff>
    </xdr:to>
    <xdr:sp macro="" textlink="">
      <xdr:nvSpPr>
        <xdr:cNvPr id="6" name="Rettangolo 5"/>
        <xdr:cNvSpPr/>
      </xdr:nvSpPr>
      <xdr:spPr>
        <a:xfrm>
          <a:off x="5563577" y="20461654"/>
          <a:ext cx="2188307" cy="119673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116</xdr:row>
      <xdr:rowOff>33378</xdr:rowOff>
    </xdr:from>
    <xdr:to>
      <xdr:col>7</xdr:col>
      <xdr:colOff>205154</xdr:colOff>
      <xdr:row>117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4885" y="20827186"/>
          <a:ext cx="957384" cy="267840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119</xdr:row>
      <xdr:rowOff>4884</xdr:rowOff>
    </xdr:from>
    <xdr:to>
      <xdr:col>8</xdr:col>
      <xdr:colOff>664307</xdr:colOff>
      <xdr:row>120</xdr:row>
      <xdr:rowOff>102577</xdr:rowOff>
    </xdr:to>
    <xdr:sp macro="" textlink="">
      <xdr:nvSpPr>
        <xdr:cNvPr id="8" name="Rettangolo 7"/>
        <xdr:cNvSpPr/>
      </xdr:nvSpPr>
      <xdr:spPr>
        <a:xfrm>
          <a:off x="6364654" y="21355538"/>
          <a:ext cx="615461" cy="2833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117</xdr:row>
      <xdr:rowOff>109902</xdr:rowOff>
    </xdr:from>
    <xdr:to>
      <xdr:col>8</xdr:col>
      <xdr:colOff>144096</xdr:colOff>
      <xdr:row>120</xdr:row>
      <xdr:rowOff>65940</xdr:rowOff>
    </xdr:to>
    <xdr:sp macro="" textlink="">
      <xdr:nvSpPr>
        <xdr:cNvPr id="9" name="Arco 8"/>
        <xdr:cNvSpPr/>
      </xdr:nvSpPr>
      <xdr:spPr>
        <a:xfrm rot="7776202">
          <a:off x="5900616" y="21042921"/>
          <a:ext cx="512884" cy="605692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116</xdr:row>
      <xdr:rowOff>166077</xdr:rowOff>
    </xdr:from>
    <xdr:to>
      <xdr:col>8</xdr:col>
      <xdr:colOff>532424</xdr:colOff>
      <xdr:row>119</xdr:row>
      <xdr:rowOff>122115</xdr:rowOff>
    </xdr:to>
    <xdr:sp macro="" textlink="">
      <xdr:nvSpPr>
        <xdr:cNvPr id="10" name="Arco 9"/>
        <xdr:cNvSpPr/>
      </xdr:nvSpPr>
      <xdr:spPr>
        <a:xfrm rot="3599081">
          <a:off x="6288944" y="20913481"/>
          <a:ext cx="512884" cy="605692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114</xdr:row>
      <xdr:rowOff>58615</xdr:rowOff>
    </xdr:from>
    <xdr:to>
      <xdr:col>9</xdr:col>
      <xdr:colOff>371239</xdr:colOff>
      <xdr:row>115</xdr:row>
      <xdr:rowOff>53732</xdr:rowOff>
    </xdr:to>
    <xdr:sp macro="" textlink="">
      <xdr:nvSpPr>
        <xdr:cNvPr id="11" name="CasellaDiTesto 10"/>
        <xdr:cNvSpPr txBox="1"/>
      </xdr:nvSpPr>
      <xdr:spPr>
        <a:xfrm>
          <a:off x="5622192" y="20481192"/>
          <a:ext cx="1924547" cy="180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115</xdr:row>
      <xdr:rowOff>29310</xdr:rowOff>
    </xdr:from>
    <xdr:to>
      <xdr:col>6</xdr:col>
      <xdr:colOff>39077</xdr:colOff>
      <xdr:row>117</xdr:row>
      <xdr:rowOff>4885</xdr:rowOff>
    </xdr:to>
    <xdr:sp macro="" textlink="">
      <xdr:nvSpPr>
        <xdr:cNvPr id="12" name="CasellaDiTesto 11"/>
        <xdr:cNvSpPr txBox="1"/>
      </xdr:nvSpPr>
      <xdr:spPr>
        <a:xfrm>
          <a:off x="4562230" y="20637502"/>
          <a:ext cx="551962" cy="346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119</xdr:row>
      <xdr:rowOff>63500</xdr:rowOff>
    </xdr:from>
    <xdr:to>
      <xdr:col>9</xdr:col>
      <xdr:colOff>312616</xdr:colOff>
      <xdr:row>120</xdr:row>
      <xdr:rowOff>58614</xdr:rowOff>
    </xdr:to>
    <xdr:sp macro="" textlink="">
      <xdr:nvSpPr>
        <xdr:cNvPr id="13" name="CasellaDiTesto 12"/>
        <xdr:cNvSpPr txBox="1"/>
      </xdr:nvSpPr>
      <xdr:spPr>
        <a:xfrm>
          <a:off x="7024078" y="21414154"/>
          <a:ext cx="464038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119</xdr:row>
      <xdr:rowOff>68384</xdr:rowOff>
    </xdr:from>
    <xdr:to>
      <xdr:col>7</xdr:col>
      <xdr:colOff>161192</xdr:colOff>
      <xdr:row>120</xdr:row>
      <xdr:rowOff>63498</xdr:rowOff>
    </xdr:to>
    <xdr:sp macro="" textlink="">
      <xdr:nvSpPr>
        <xdr:cNvPr id="14" name="CasellaDiTesto 13"/>
        <xdr:cNvSpPr txBox="1"/>
      </xdr:nvSpPr>
      <xdr:spPr>
        <a:xfrm>
          <a:off x="5734538" y="21419038"/>
          <a:ext cx="263769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116</xdr:row>
      <xdr:rowOff>43961</xdr:rowOff>
    </xdr:from>
    <xdr:to>
      <xdr:col>9</xdr:col>
      <xdr:colOff>297962</xdr:colOff>
      <xdr:row>117</xdr:row>
      <xdr:rowOff>39075</xdr:rowOff>
    </xdr:to>
    <xdr:sp macro="" textlink="">
      <xdr:nvSpPr>
        <xdr:cNvPr id="15" name="CasellaDiTesto 14"/>
        <xdr:cNvSpPr txBox="1"/>
      </xdr:nvSpPr>
      <xdr:spPr>
        <a:xfrm>
          <a:off x="6643077" y="20837769"/>
          <a:ext cx="830385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119</xdr:row>
      <xdr:rowOff>146538</xdr:rowOff>
    </xdr:from>
    <xdr:to>
      <xdr:col>8</xdr:col>
      <xdr:colOff>664306</xdr:colOff>
      <xdr:row>119</xdr:row>
      <xdr:rowOff>146538</xdr:rowOff>
    </xdr:to>
    <xdr:cxnSp macro="">
      <xdr:nvCxnSpPr>
        <xdr:cNvPr id="21" name="Connettore 1 20"/>
        <xdr:cNvCxnSpPr>
          <a:stCxn id="8" idx="1"/>
          <a:endCxn id="8" idx="3"/>
        </xdr:cNvCxnSpPr>
      </xdr:nvCxnSpPr>
      <xdr:spPr>
        <a:xfrm rot="10800000" flipH="1">
          <a:off x="6364653" y="21497192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258886</xdr:colOff>
      <xdr:row>66</xdr:row>
      <xdr:rowOff>146538</xdr:rowOff>
    </xdr:from>
    <xdr:to>
      <xdr:col>6</xdr:col>
      <xdr:colOff>420078</xdr:colOff>
      <xdr:row>75</xdr:row>
      <xdr:rowOff>68384</xdr:rowOff>
    </xdr:to>
    <xdr:sp macro="" textlink="">
      <xdr:nvSpPr>
        <xdr:cNvPr id="23" name="CasellaDiTesto 22"/>
        <xdr:cNvSpPr txBox="1"/>
      </xdr:nvSpPr>
      <xdr:spPr>
        <a:xfrm>
          <a:off x="3365501" y="12358076"/>
          <a:ext cx="2129692" cy="140677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controsoffittatura</a:t>
          </a:r>
          <a:r>
            <a:rPr lang="it-IT" sz="1100" baseline="0"/>
            <a:t> isolata e la VMC garantiscono un rispamio importante e una qualità dell'aria ottimale per le persone.</a:t>
          </a:r>
          <a:br>
            <a:rPr lang="it-IT" sz="1100" baseline="0"/>
          </a:br>
          <a:r>
            <a:rPr lang="it-IT" sz="1100" baseline="0"/>
            <a:t>L'intervento ha una vita utile elevata e i costi di manutenzione della VMC sono bassi.</a:t>
          </a:r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447919</xdr:colOff>
      <xdr:row>98</xdr:row>
      <xdr:rowOff>98179</xdr:rowOff>
    </xdr:from>
    <xdr:to>
      <xdr:col>8</xdr:col>
      <xdr:colOff>651119</xdr:colOff>
      <xdr:row>107</xdr:row>
      <xdr:rowOff>156794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6019" y="17782929"/>
          <a:ext cx="2667000" cy="171596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57151</xdr:colOff>
      <xdr:row>76</xdr:row>
      <xdr:rowOff>73758</xdr:rowOff>
    </xdr:from>
    <xdr:to>
      <xdr:col>0</xdr:col>
      <xdr:colOff>1587528</xdr:colOff>
      <xdr:row>81</xdr:row>
      <xdr:rowOff>67408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14185412"/>
          <a:ext cx="1530377" cy="921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20</xdr:row>
      <xdr:rowOff>177800</xdr:rowOff>
    </xdr:from>
    <xdr:to>
      <xdr:col>12</xdr:col>
      <xdr:colOff>230011</xdr:colOff>
      <xdr:row>27</xdr:row>
      <xdr:rowOff>50800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867150"/>
          <a:ext cx="343676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332154</xdr:colOff>
      <xdr:row>40</xdr:row>
      <xdr:rowOff>136768</xdr:rowOff>
    </xdr:from>
    <xdr:to>
      <xdr:col>8</xdr:col>
      <xdr:colOff>587185</xdr:colOff>
      <xdr:row>50</xdr:row>
      <xdr:rowOff>134814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0254" y="7509118"/>
          <a:ext cx="2718831" cy="1839546"/>
        </a:xfrm>
        <a:prstGeom prst="rect">
          <a:avLst/>
        </a:prstGeom>
        <a:noFill/>
      </xdr:spPr>
    </xdr:pic>
    <xdr:clientData/>
  </xdr:twoCellAnchor>
  <xdr:twoCellAnchor>
    <xdr:from>
      <xdr:col>6</xdr:col>
      <xdr:colOff>488462</xdr:colOff>
      <xdr:row>112</xdr:row>
      <xdr:rowOff>39077</xdr:rowOff>
    </xdr:from>
    <xdr:to>
      <xdr:col>9</xdr:col>
      <xdr:colOff>576384</xdr:colOff>
      <xdr:row>118</xdr:row>
      <xdr:rowOff>122116</xdr:rowOff>
    </xdr:to>
    <xdr:sp macro="" textlink="">
      <xdr:nvSpPr>
        <xdr:cNvPr id="6" name="Rettangolo 5"/>
        <xdr:cNvSpPr/>
      </xdr:nvSpPr>
      <xdr:spPr>
        <a:xfrm>
          <a:off x="5562112" y="20301927"/>
          <a:ext cx="2183422" cy="11879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114</xdr:row>
      <xdr:rowOff>33378</xdr:rowOff>
    </xdr:from>
    <xdr:to>
      <xdr:col>7</xdr:col>
      <xdr:colOff>205154</xdr:colOff>
      <xdr:row>115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3420" y="20664528"/>
          <a:ext cx="957384" cy="266375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117</xdr:row>
      <xdr:rowOff>4884</xdr:rowOff>
    </xdr:from>
    <xdr:to>
      <xdr:col>8</xdr:col>
      <xdr:colOff>664307</xdr:colOff>
      <xdr:row>118</xdr:row>
      <xdr:rowOff>102577</xdr:rowOff>
    </xdr:to>
    <xdr:sp macro="" textlink="">
      <xdr:nvSpPr>
        <xdr:cNvPr id="8" name="Rettangolo 7"/>
        <xdr:cNvSpPr/>
      </xdr:nvSpPr>
      <xdr:spPr>
        <a:xfrm>
          <a:off x="6360746" y="21188484"/>
          <a:ext cx="615461" cy="281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115</xdr:row>
      <xdr:rowOff>109902</xdr:rowOff>
    </xdr:from>
    <xdr:to>
      <xdr:col>8</xdr:col>
      <xdr:colOff>144096</xdr:colOff>
      <xdr:row>118</xdr:row>
      <xdr:rowOff>65940</xdr:rowOff>
    </xdr:to>
    <xdr:sp macro="" textlink="">
      <xdr:nvSpPr>
        <xdr:cNvPr id="9" name="Arco 8"/>
        <xdr:cNvSpPr/>
      </xdr:nvSpPr>
      <xdr:spPr>
        <a:xfrm rot="7776202">
          <a:off x="5900128" y="20877821"/>
          <a:ext cx="508488" cy="603249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114</xdr:row>
      <xdr:rowOff>166077</xdr:rowOff>
    </xdr:from>
    <xdr:to>
      <xdr:col>8</xdr:col>
      <xdr:colOff>532424</xdr:colOff>
      <xdr:row>117</xdr:row>
      <xdr:rowOff>122115</xdr:rowOff>
    </xdr:to>
    <xdr:sp macro="" textlink="">
      <xdr:nvSpPr>
        <xdr:cNvPr id="10" name="Arco 9"/>
        <xdr:cNvSpPr/>
      </xdr:nvSpPr>
      <xdr:spPr>
        <a:xfrm rot="3599081">
          <a:off x="6288456" y="20749846"/>
          <a:ext cx="508488" cy="603249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112</xdr:row>
      <xdr:rowOff>58615</xdr:rowOff>
    </xdr:from>
    <xdr:to>
      <xdr:col>9</xdr:col>
      <xdr:colOff>371239</xdr:colOff>
      <xdr:row>113</xdr:row>
      <xdr:rowOff>53732</xdr:rowOff>
    </xdr:to>
    <xdr:sp macro="" textlink="">
      <xdr:nvSpPr>
        <xdr:cNvPr id="11" name="CasellaDiTesto 10"/>
        <xdr:cNvSpPr txBox="1"/>
      </xdr:nvSpPr>
      <xdr:spPr>
        <a:xfrm>
          <a:off x="5620727" y="20321465"/>
          <a:ext cx="1919662" cy="179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113</xdr:row>
      <xdr:rowOff>29310</xdr:rowOff>
    </xdr:from>
    <xdr:to>
      <xdr:col>6</xdr:col>
      <xdr:colOff>39077</xdr:colOff>
      <xdr:row>115</xdr:row>
      <xdr:rowOff>4885</xdr:rowOff>
    </xdr:to>
    <xdr:sp macro="" textlink="">
      <xdr:nvSpPr>
        <xdr:cNvPr id="12" name="CasellaDiTesto 11"/>
        <xdr:cNvSpPr txBox="1"/>
      </xdr:nvSpPr>
      <xdr:spPr>
        <a:xfrm>
          <a:off x="4559299" y="20476310"/>
          <a:ext cx="553428" cy="34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117</xdr:row>
      <xdr:rowOff>63500</xdr:rowOff>
    </xdr:from>
    <xdr:to>
      <xdr:col>9</xdr:col>
      <xdr:colOff>312616</xdr:colOff>
      <xdr:row>118</xdr:row>
      <xdr:rowOff>58614</xdr:rowOff>
    </xdr:to>
    <xdr:sp macro="" textlink="">
      <xdr:nvSpPr>
        <xdr:cNvPr id="13" name="CasellaDiTesto 12"/>
        <xdr:cNvSpPr txBox="1"/>
      </xdr:nvSpPr>
      <xdr:spPr>
        <a:xfrm>
          <a:off x="7020170" y="21247100"/>
          <a:ext cx="461596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117</xdr:row>
      <xdr:rowOff>68384</xdr:rowOff>
    </xdr:from>
    <xdr:to>
      <xdr:col>7</xdr:col>
      <xdr:colOff>161192</xdr:colOff>
      <xdr:row>118</xdr:row>
      <xdr:rowOff>63498</xdr:rowOff>
    </xdr:to>
    <xdr:sp macro="" textlink="">
      <xdr:nvSpPr>
        <xdr:cNvPr id="14" name="CasellaDiTesto 13"/>
        <xdr:cNvSpPr txBox="1"/>
      </xdr:nvSpPr>
      <xdr:spPr>
        <a:xfrm>
          <a:off x="5733073" y="21251984"/>
          <a:ext cx="263769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114</xdr:row>
      <xdr:rowOff>43961</xdr:rowOff>
    </xdr:from>
    <xdr:to>
      <xdr:col>9</xdr:col>
      <xdr:colOff>297962</xdr:colOff>
      <xdr:row>115</xdr:row>
      <xdr:rowOff>39075</xdr:rowOff>
    </xdr:to>
    <xdr:sp macro="" textlink="">
      <xdr:nvSpPr>
        <xdr:cNvPr id="15" name="CasellaDiTesto 14"/>
        <xdr:cNvSpPr txBox="1"/>
      </xdr:nvSpPr>
      <xdr:spPr>
        <a:xfrm>
          <a:off x="6639169" y="20675111"/>
          <a:ext cx="827943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117</xdr:row>
      <xdr:rowOff>146538</xdr:rowOff>
    </xdr:from>
    <xdr:to>
      <xdr:col>8</xdr:col>
      <xdr:colOff>664306</xdr:colOff>
      <xdr:row>117</xdr:row>
      <xdr:rowOff>146538</xdr:rowOff>
    </xdr:to>
    <xdr:cxnSp macro="">
      <xdr:nvCxnSpPr>
        <xdr:cNvPr id="16" name="Connettore 1 15"/>
        <xdr:cNvCxnSpPr>
          <a:stCxn id="8" idx="1"/>
          <a:endCxn id="8" idx="3"/>
        </xdr:cNvCxnSpPr>
      </xdr:nvCxnSpPr>
      <xdr:spPr>
        <a:xfrm rot="10800000" flipH="1">
          <a:off x="6360745" y="21330138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112346</xdr:colOff>
      <xdr:row>67</xdr:row>
      <xdr:rowOff>73269</xdr:rowOff>
    </xdr:from>
    <xdr:to>
      <xdr:col>6</xdr:col>
      <xdr:colOff>527539</xdr:colOff>
      <xdr:row>74</xdr:row>
      <xdr:rowOff>68382</xdr:rowOff>
    </xdr:to>
    <xdr:sp macro="" textlink="">
      <xdr:nvSpPr>
        <xdr:cNvPr id="17" name="CasellaDiTesto 16"/>
        <xdr:cNvSpPr txBox="1"/>
      </xdr:nvSpPr>
      <xdr:spPr>
        <a:xfrm>
          <a:off x="3218961" y="12328769"/>
          <a:ext cx="2383693" cy="1294421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sostituzione</a:t>
          </a:r>
          <a:r>
            <a:rPr lang="it-IT" sz="1100" baseline="0"/>
            <a:t> del generatore di calore con una PDC non comporta risparmi sensibili dopo 20 anni </a:t>
          </a:r>
          <a:r>
            <a:rPr lang="it-I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(circa 1000€)  ed i costi di manutenzione e possibili guasti all'impianto PDC vanificherebbo del tutto il modesto risparmio ottenuto.</a:t>
          </a:r>
          <a:endParaRPr lang="it-I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336550</xdr:colOff>
      <xdr:row>103</xdr:row>
      <xdr:rowOff>6350</xdr:rowOff>
    </xdr:from>
    <xdr:to>
      <xdr:col>8</xdr:col>
      <xdr:colOff>501650</xdr:colOff>
      <xdr:row>112</xdr:row>
      <xdr:rowOff>63500</xdr:rowOff>
    </xdr:to>
    <xdr:pic>
      <xdr:nvPicPr>
        <xdr:cNvPr id="1025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19024600"/>
          <a:ext cx="2667000" cy="1714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92</xdr:row>
      <xdr:rowOff>133350</xdr:rowOff>
    </xdr:from>
    <xdr:to>
      <xdr:col>0</xdr:col>
      <xdr:colOff>1568477</xdr:colOff>
      <xdr:row>97</xdr:row>
      <xdr:rowOff>127000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7125950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622300</xdr:colOff>
      <xdr:row>70</xdr:row>
      <xdr:rowOff>101666</xdr:rowOff>
    </xdr:from>
    <xdr:to>
      <xdr:col>9</xdr:col>
      <xdr:colOff>107950</xdr:colOff>
      <xdr:row>83</xdr:row>
      <xdr:rowOff>107950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3800" y="13042966"/>
          <a:ext cx="1968500" cy="24002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501650</xdr:colOff>
      <xdr:row>61</xdr:row>
      <xdr:rowOff>69850</xdr:rowOff>
    </xdr:from>
    <xdr:to>
      <xdr:col>9</xdr:col>
      <xdr:colOff>311791</xdr:colOff>
      <xdr:row>69</xdr:row>
      <xdr:rowOff>158750</xdr:rowOff>
    </xdr:to>
    <xdr:pic>
      <xdr:nvPicPr>
        <xdr:cNvPr id="1027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83150" y="11353800"/>
          <a:ext cx="2292991" cy="15621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190499</xdr:colOff>
      <xdr:row>18</xdr:row>
      <xdr:rowOff>133350</xdr:rowOff>
    </xdr:from>
    <xdr:to>
      <xdr:col>12</xdr:col>
      <xdr:colOff>649110</xdr:colOff>
      <xdr:row>25</xdr:row>
      <xdr:rowOff>6350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18199" y="349885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88</xdr:row>
      <xdr:rowOff>15141</xdr:rowOff>
    </xdr:from>
    <xdr:to>
      <xdr:col>8</xdr:col>
      <xdr:colOff>626696</xdr:colOff>
      <xdr:row>97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77</xdr:row>
      <xdr:rowOff>171450</xdr:rowOff>
    </xdr:from>
    <xdr:to>
      <xdr:col>0</xdr:col>
      <xdr:colOff>1587527</xdr:colOff>
      <xdr:row>82</xdr:row>
      <xdr:rowOff>165100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50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20</xdr:row>
      <xdr:rowOff>177800</xdr:rowOff>
    </xdr:from>
    <xdr:to>
      <xdr:col>12</xdr:col>
      <xdr:colOff>611011</xdr:colOff>
      <xdr:row>27</xdr:row>
      <xdr:rowOff>50800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77190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93</xdr:row>
      <xdr:rowOff>15141</xdr:rowOff>
    </xdr:from>
    <xdr:to>
      <xdr:col>8</xdr:col>
      <xdr:colOff>626696</xdr:colOff>
      <xdr:row>102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82</xdr:row>
      <xdr:rowOff>171449</xdr:rowOff>
    </xdr:from>
    <xdr:to>
      <xdr:col>0</xdr:col>
      <xdr:colOff>1708150</xdr:colOff>
      <xdr:row>88</xdr:row>
      <xdr:rowOff>53021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107950</xdr:colOff>
      <xdr:row>65</xdr:row>
      <xdr:rowOff>114300</xdr:rowOff>
    </xdr:from>
    <xdr:to>
      <xdr:col>8</xdr:col>
      <xdr:colOff>104170</xdr:colOff>
      <xdr:row>77</xdr:row>
      <xdr:rowOff>114299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03750" y="12915900"/>
          <a:ext cx="1812320" cy="22097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96</xdr:row>
      <xdr:rowOff>15141</xdr:rowOff>
    </xdr:from>
    <xdr:to>
      <xdr:col>8</xdr:col>
      <xdr:colOff>626696</xdr:colOff>
      <xdr:row>105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85</xdr:row>
      <xdr:rowOff>171449</xdr:rowOff>
    </xdr:from>
    <xdr:to>
      <xdr:col>0</xdr:col>
      <xdr:colOff>1708150</xdr:colOff>
      <xdr:row>91</xdr:row>
      <xdr:rowOff>53021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330200</xdr:colOff>
      <xdr:row>63</xdr:row>
      <xdr:rowOff>31750</xdr:rowOff>
    </xdr:from>
    <xdr:to>
      <xdr:col>8</xdr:col>
      <xdr:colOff>588162</xdr:colOff>
      <xdr:row>73</xdr:row>
      <xdr:rowOff>44450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78300" y="11544300"/>
          <a:ext cx="2721762" cy="18542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101</xdr:row>
      <xdr:rowOff>15141</xdr:rowOff>
    </xdr:from>
    <xdr:to>
      <xdr:col>8</xdr:col>
      <xdr:colOff>626696</xdr:colOff>
      <xdr:row>110</xdr:row>
      <xdr:rowOff>73756</xdr:rowOff>
    </xdr:to>
    <xdr:pic>
      <xdr:nvPicPr>
        <xdr:cNvPr id="2049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5342" y="18625526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90</xdr:row>
      <xdr:rowOff>171449</xdr:rowOff>
    </xdr:from>
    <xdr:to>
      <xdr:col>0</xdr:col>
      <xdr:colOff>1708150</xdr:colOff>
      <xdr:row>96</xdr:row>
      <xdr:rowOff>53021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107950</xdr:colOff>
      <xdr:row>70</xdr:row>
      <xdr:rowOff>114300</xdr:rowOff>
    </xdr:from>
    <xdr:to>
      <xdr:col>8</xdr:col>
      <xdr:colOff>104170</xdr:colOff>
      <xdr:row>82</xdr:row>
      <xdr:rowOff>114299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3100" y="12871450"/>
          <a:ext cx="1812320" cy="2209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635000</xdr:colOff>
      <xdr:row>61</xdr:row>
      <xdr:rowOff>152400</xdr:rowOff>
    </xdr:from>
    <xdr:to>
      <xdr:col>8</xdr:col>
      <xdr:colOff>343017</xdr:colOff>
      <xdr:row>69</xdr:row>
      <xdr:rowOff>158750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62450" y="11252200"/>
          <a:ext cx="2171817" cy="147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3"/>
  <sheetViews>
    <sheetView topLeftCell="A28" zoomScale="130" zoomScaleNormal="130" workbookViewId="0">
      <selection activeCell="C52" sqref="C52"/>
    </sheetView>
  </sheetViews>
  <sheetFormatPr defaultRowHeight="14.5"/>
  <cols>
    <col min="1" max="1" width="26.453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293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313</v>
      </c>
    </row>
    <row r="5" spans="1:18">
      <c r="A5" s="2" t="s">
        <v>49</v>
      </c>
      <c r="B5" s="2">
        <f>183-6*4-7</f>
        <v>152</v>
      </c>
      <c r="C5" s="2" t="s">
        <v>325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314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D15" s="2" t="s">
        <v>315</v>
      </c>
      <c r="E15" s="2">
        <f>0.6*(B15-0.2)</f>
        <v>3.9</v>
      </c>
      <c r="F15" s="2" t="s">
        <v>1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G16" s="1" t="s">
        <v>9</v>
      </c>
      <c r="R16" s="12"/>
    </row>
    <row r="17" spans="1:18">
      <c r="D17" s="1" t="s">
        <v>2</v>
      </c>
      <c r="E17" s="11"/>
      <c r="G17" s="2" t="s">
        <v>70</v>
      </c>
      <c r="H17" s="2">
        <f>6.7*24.8</f>
        <v>166.16</v>
      </c>
      <c r="I17" s="2" t="s">
        <v>1</v>
      </c>
      <c r="R17" s="12"/>
    </row>
    <row r="18" spans="1:18" ht="14" customHeight="1">
      <c r="D18" s="2" t="s">
        <v>138</v>
      </c>
      <c r="E18" s="11">
        <f>1.5*3*(B15-0.2)</f>
        <v>29.25</v>
      </c>
      <c r="F18" s="2" t="s">
        <v>1</v>
      </c>
    </row>
    <row r="19" spans="1:18" ht="7" customHeight="1"/>
    <row r="20" spans="1:18">
      <c r="A20" s="1" t="s">
        <v>55</v>
      </c>
    </row>
    <row r="21" spans="1:18">
      <c r="A21" s="27" t="s">
        <v>198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1.3</v>
      </c>
      <c r="F23" s="15">
        <v>1</v>
      </c>
      <c r="G23" s="20">
        <f t="shared" ref="G23:G29" si="0">B23*C23*D23*E23*F23</f>
        <v>1236.4070998981729</v>
      </c>
    </row>
    <row r="24" spans="1:18">
      <c r="A24" s="3" t="s">
        <v>194</v>
      </c>
      <c r="B24" s="14">
        <f>E13</f>
        <v>41.875</v>
      </c>
      <c r="C24" s="3">
        <f>20-$B$7</f>
        <v>14.5</v>
      </c>
      <c r="D24" s="14">
        <f>Trasmittanze!F10</f>
        <v>0.72649572649572647</v>
      </c>
      <c r="E24" s="3">
        <v>1.3</v>
      </c>
      <c r="F24" s="15">
        <v>1.2</v>
      </c>
      <c r="G24" s="20">
        <f t="shared" si="0"/>
        <v>688.14583333333326</v>
      </c>
      <c r="I24" s="12"/>
    </row>
    <row r="25" spans="1:18">
      <c r="A25" s="3" t="s">
        <v>195</v>
      </c>
      <c r="B25" s="3">
        <f>E14</f>
        <v>9.75</v>
      </c>
      <c r="C25" s="3">
        <f t="shared" ref="C25:C29" si="1">20-$B$7</f>
        <v>14.5</v>
      </c>
      <c r="D25" s="14">
        <f>Trasmittanze!B26</f>
        <v>3.0082987551867215</v>
      </c>
      <c r="E25" s="3">
        <v>1.3</v>
      </c>
      <c r="F25" s="15">
        <v>1.2</v>
      </c>
      <c r="G25" s="20">
        <f t="shared" si="0"/>
        <v>663.46524896265544</v>
      </c>
    </row>
    <row r="26" spans="1:18">
      <c r="A26" s="3" t="s">
        <v>196</v>
      </c>
      <c r="B26" s="3">
        <f>H13</f>
        <v>4.2</v>
      </c>
      <c r="C26" s="3">
        <f t="shared" si="1"/>
        <v>14.5</v>
      </c>
      <c r="D26" s="14">
        <f>Trasmittanze!F10</f>
        <v>0.72649572649572647</v>
      </c>
      <c r="E26" s="3">
        <v>1.3</v>
      </c>
      <c r="F26" s="15">
        <v>1</v>
      </c>
      <c r="G26" s="20">
        <f t="shared" si="0"/>
        <v>57.516666666666673</v>
      </c>
    </row>
    <row r="27" spans="1:18">
      <c r="A27" s="3" t="s">
        <v>197</v>
      </c>
      <c r="B27" s="3">
        <f>H14</f>
        <v>5.8500000000000005</v>
      </c>
      <c r="C27" s="3">
        <f t="shared" si="1"/>
        <v>14.5</v>
      </c>
      <c r="D27" s="14">
        <f>Trasmittanze!B26</f>
        <v>3.0082987551867215</v>
      </c>
      <c r="E27" s="3">
        <v>1.3</v>
      </c>
      <c r="F27" s="15">
        <v>1</v>
      </c>
      <c r="G27" s="20">
        <f t="shared" si="0"/>
        <v>331.73262448132778</v>
      </c>
    </row>
    <row r="28" spans="1:18">
      <c r="A28" s="73" t="s">
        <v>37</v>
      </c>
      <c r="B28" s="74">
        <f>B16</f>
        <v>176.88507568475075</v>
      </c>
      <c r="C28" s="73">
        <f t="shared" si="1"/>
        <v>14.5</v>
      </c>
      <c r="D28" s="75">
        <f>Trasmittanze!F21</f>
        <v>3.0727416427418581</v>
      </c>
      <c r="E28" s="73">
        <v>1.3</v>
      </c>
      <c r="F28" s="74">
        <v>1</v>
      </c>
      <c r="G28" s="76">
        <f t="shared" si="0"/>
        <v>10245.392301980086</v>
      </c>
    </row>
    <row r="29" spans="1:18">
      <c r="A29" s="3" t="s">
        <v>38</v>
      </c>
      <c r="B29" s="15">
        <f>E18</f>
        <v>29.25</v>
      </c>
      <c r="C29" s="3">
        <f t="shared" si="1"/>
        <v>14.5</v>
      </c>
      <c r="D29" s="14">
        <f>Trasmittanze!B26</f>
        <v>3.0082987551867215</v>
      </c>
      <c r="E29" s="3">
        <v>1.3</v>
      </c>
      <c r="F29" s="15">
        <v>1</v>
      </c>
      <c r="G29" s="20">
        <f t="shared" si="0"/>
        <v>1658.6631224066389</v>
      </c>
    </row>
    <row r="30" spans="1:18">
      <c r="F30" s="2" t="s">
        <v>40</v>
      </c>
      <c r="G30" s="45">
        <f>-SUM(G23:G29)</f>
        <v>-14881.32289772888</v>
      </c>
      <c r="H30" s="2" t="s">
        <v>39</v>
      </c>
    </row>
    <row r="31" spans="1:18">
      <c r="A31" s="1" t="s">
        <v>172</v>
      </c>
      <c r="G31" s="29">
        <f>G30/1000</f>
        <v>-14.881322897728881</v>
      </c>
      <c r="H31" s="2" t="s">
        <v>318</v>
      </c>
    </row>
    <row r="32" spans="1:18">
      <c r="A32" s="2" t="s">
        <v>41</v>
      </c>
      <c r="B32" s="2">
        <v>24</v>
      </c>
      <c r="C32" s="23" t="s">
        <v>185</v>
      </c>
    </row>
    <row r="33" spans="1:7">
      <c r="A33" s="2" t="s">
        <v>190</v>
      </c>
      <c r="B33" s="31">
        <v>0.7</v>
      </c>
      <c r="C33" s="2" t="s">
        <v>191</v>
      </c>
    </row>
    <row r="34" spans="1:7">
      <c r="A34" s="2" t="s">
        <v>306</v>
      </c>
      <c r="B34" s="24">
        <f>32*36*B33</f>
        <v>806.4</v>
      </c>
      <c r="C34" s="2" t="s">
        <v>319</v>
      </c>
      <c r="D34" s="2">
        <f>B34/1000</f>
        <v>0.80640000000000001</v>
      </c>
      <c r="E34" s="2" t="s">
        <v>318</v>
      </c>
    </row>
    <row r="35" spans="1:7">
      <c r="A35" s="2" t="s">
        <v>326</v>
      </c>
      <c r="B35" s="2">
        <f>(B34/1000)*12*B5</f>
        <v>1470.8735999999999</v>
      </c>
      <c r="C35" s="2" t="s">
        <v>316</v>
      </c>
    </row>
    <row r="36" spans="1:7">
      <c r="A36" s="2" t="s">
        <v>304</v>
      </c>
      <c r="B36" s="2">
        <v>0.22</v>
      </c>
      <c r="C36" s="2" t="s">
        <v>305</v>
      </c>
    </row>
    <row r="37" spans="1:7">
      <c r="A37" s="2" t="s">
        <v>302</v>
      </c>
      <c r="B37" s="2">
        <f>B35*B36</f>
        <v>323.59219199999995</v>
      </c>
      <c r="C37" s="2" t="s">
        <v>265</v>
      </c>
    </row>
    <row r="38" spans="1:7">
      <c r="A38" s="2" t="s">
        <v>202</v>
      </c>
      <c r="B38" s="24">
        <f>250*B32*B33*0.5</f>
        <v>2100</v>
      </c>
      <c r="C38" s="2" t="s">
        <v>201</v>
      </c>
    </row>
    <row r="40" spans="1:7">
      <c r="A40" s="1" t="s">
        <v>60</v>
      </c>
    </row>
    <row r="41" spans="1:7">
      <c r="A41" s="2" t="s">
        <v>190</v>
      </c>
      <c r="B41" s="31">
        <v>0.7</v>
      </c>
      <c r="C41" s="2" t="s">
        <v>191</v>
      </c>
    </row>
    <row r="42" spans="1:7">
      <c r="A42" s="2" t="s">
        <v>278</v>
      </c>
      <c r="B42" s="24">
        <f>70*B32*B41</f>
        <v>1176</v>
      </c>
      <c r="C42" s="2" t="s">
        <v>42</v>
      </c>
    </row>
    <row r="43" spans="1:7">
      <c r="A43" s="2" t="s">
        <v>279</v>
      </c>
      <c r="B43" s="24">
        <f>B32*45*B41</f>
        <v>756</v>
      </c>
      <c r="C43" s="2" t="s">
        <v>43</v>
      </c>
    </row>
    <row r="45" spans="1:7">
      <c r="A45" s="1" t="s">
        <v>317</v>
      </c>
    </row>
    <row r="46" spans="1:7">
      <c r="A46" s="19" t="s">
        <v>66</v>
      </c>
      <c r="B46" s="2">
        <f>B23*E12</f>
        <v>1038.5</v>
      </c>
      <c r="C46" s="2" t="s">
        <v>71</v>
      </c>
    </row>
    <row r="47" spans="1:7">
      <c r="A47" s="2" t="s">
        <v>280</v>
      </c>
      <c r="B47" s="2">
        <f>7</f>
        <v>7</v>
      </c>
      <c r="C47" s="2" t="s">
        <v>62</v>
      </c>
    </row>
    <row r="48" spans="1:7">
      <c r="A48" s="2" t="s">
        <v>281</v>
      </c>
      <c r="B48" s="2">
        <f>B47*B32</f>
        <v>168</v>
      </c>
      <c r="C48" s="2" t="s">
        <v>62</v>
      </c>
      <c r="D48" s="2">
        <f>1.2*B48/1000</f>
        <v>0.2016</v>
      </c>
      <c r="E48" s="2" t="s">
        <v>64</v>
      </c>
      <c r="F48" s="2">
        <f>B48*3.6</f>
        <v>604.80000000000007</v>
      </c>
      <c r="G48" s="2" t="s">
        <v>65</v>
      </c>
    </row>
    <row r="49" spans="1:7">
      <c r="A49" s="2" t="s">
        <v>140</v>
      </c>
    </row>
    <row r="50" spans="1:7">
      <c r="A50" s="2" t="s">
        <v>82</v>
      </c>
      <c r="B50" s="7">
        <f>F48/B46</f>
        <v>0.58237843042850268</v>
      </c>
      <c r="C50" s="2" t="s">
        <v>331</v>
      </c>
      <c r="F50" s="7">
        <f>F48/H17</f>
        <v>3.639865190178142</v>
      </c>
      <c r="G50" s="2" t="s">
        <v>332</v>
      </c>
    </row>
    <row r="51" spans="1:7">
      <c r="A51" s="24" t="s">
        <v>327</v>
      </c>
      <c r="B51" s="24">
        <f>-D48*1006 * (20-$B$7)</f>
        <v>-2940.7392</v>
      </c>
      <c r="C51" s="24" t="s">
        <v>282</v>
      </c>
      <c r="D51" s="24"/>
      <c r="E51" s="24"/>
      <c r="F51" s="24"/>
    </row>
    <row r="52" spans="1:7">
      <c r="A52" s="24" t="s">
        <v>343</v>
      </c>
      <c r="B52" s="24">
        <f>B46/B32</f>
        <v>43.270833333333336</v>
      </c>
      <c r="C52" s="24"/>
      <c r="D52" s="24"/>
      <c r="E52" s="24"/>
      <c r="F52" s="24"/>
    </row>
    <row r="54" spans="1:7">
      <c r="A54" s="1" t="s">
        <v>83</v>
      </c>
    </row>
    <row r="55" spans="1:7">
      <c r="A55" s="2" t="s">
        <v>129</v>
      </c>
      <c r="B55" s="2">
        <f>G30+B34+B38+B42+B51</f>
        <v>-13739.66209772888</v>
      </c>
      <c r="C55" s="2" t="s">
        <v>75</v>
      </c>
    </row>
    <row r="56" spans="1:7">
      <c r="A56" s="2" t="s">
        <v>283</v>
      </c>
      <c r="B56" s="2">
        <f>B43</f>
        <v>756</v>
      </c>
      <c r="C56" s="2" t="s">
        <v>75</v>
      </c>
      <c r="D56" s="2" t="s">
        <v>203</v>
      </c>
      <c r="F56" s="7"/>
    </row>
    <row r="57" spans="1:7">
      <c r="A57" s="24" t="s">
        <v>120</v>
      </c>
      <c r="B57" s="45">
        <f>B55+B56</f>
        <v>-12983.66209772888</v>
      </c>
      <c r="C57" s="24" t="s">
        <v>75</v>
      </c>
      <c r="D57" s="11">
        <f>B57/1000</f>
        <v>-12.98366209772888</v>
      </c>
      <c r="E57" s="2" t="s">
        <v>318</v>
      </c>
      <c r="F57" s="7"/>
    </row>
    <row r="59" spans="1:7">
      <c r="A59" s="1" t="s">
        <v>177</v>
      </c>
    </row>
    <row r="60" spans="1:7">
      <c r="A60" s="2" t="s">
        <v>176</v>
      </c>
      <c r="B60" s="2">
        <v>0.8</v>
      </c>
      <c r="C60" s="23" t="s">
        <v>125</v>
      </c>
    </row>
    <row r="61" spans="1:7">
      <c r="A61" s="2" t="s">
        <v>77</v>
      </c>
      <c r="B61" s="2">
        <v>14</v>
      </c>
      <c r="C61" s="2" t="s">
        <v>320</v>
      </c>
    </row>
    <row r="63" spans="1:7">
      <c r="A63" s="21" t="s">
        <v>127</v>
      </c>
      <c r="B63" s="21">
        <f>-$B$5*(B57/1000)*$B$61/$B$60</f>
        <v>34536.541179958818</v>
      </c>
      <c r="C63" s="21" t="s">
        <v>78</v>
      </c>
    </row>
    <row r="64" spans="1:7">
      <c r="A64" s="2" t="s">
        <v>126</v>
      </c>
      <c r="B64" s="2">
        <v>0.1</v>
      </c>
      <c r="C64" s="2" t="s">
        <v>79</v>
      </c>
    </row>
    <row r="65" spans="1:9">
      <c r="A65" s="24" t="s">
        <v>80</v>
      </c>
      <c r="B65" s="24">
        <f>B63*B64</f>
        <v>3453.6541179958822</v>
      </c>
      <c r="C65" s="24" t="s">
        <v>81</v>
      </c>
    </row>
    <row r="66" spans="1:9">
      <c r="A66" s="2" t="s">
        <v>85</v>
      </c>
      <c r="B66" s="2">
        <f>-$B$5*((B57-B51)/1000)*$B$61/$B$60*B64</f>
        <v>2671.4174907958823</v>
      </c>
      <c r="C66" s="2" t="s">
        <v>81</v>
      </c>
      <c r="D66" s="11">
        <f>B66/B65*100</f>
        <v>77.350464161306249</v>
      </c>
      <c r="E66" s="2" t="s">
        <v>84</v>
      </c>
    </row>
    <row r="67" spans="1:9">
      <c r="A67" s="2" t="s">
        <v>86</v>
      </c>
      <c r="B67" s="2">
        <f>B65-B66</f>
        <v>782.23662719999993</v>
      </c>
      <c r="C67" s="2" t="s">
        <v>81</v>
      </c>
      <c r="D67" s="11">
        <f>B67/B65*100</f>
        <v>22.649535838693751</v>
      </c>
      <c r="E67" s="2" t="s">
        <v>84</v>
      </c>
    </row>
    <row r="69" spans="1:9">
      <c r="A69" s="56" t="s">
        <v>321</v>
      </c>
    </row>
    <row r="70" spans="1:9">
      <c r="A70" s="56" t="s">
        <v>322</v>
      </c>
    </row>
    <row r="71" spans="1:9">
      <c r="A71" s="56" t="s">
        <v>323</v>
      </c>
    </row>
    <row r="72" spans="1:9">
      <c r="A72" s="56" t="s">
        <v>324</v>
      </c>
    </row>
    <row r="73" spans="1:9">
      <c r="A73" s="1"/>
    </row>
    <row r="74" spans="1:9">
      <c r="A74" s="33"/>
      <c r="B74" s="35"/>
      <c r="C74" s="33"/>
      <c r="D74" s="33"/>
      <c r="E74" s="33"/>
      <c r="F74" s="33"/>
      <c r="G74" s="33"/>
      <c r="H74" s="33"/>
      <c r="I74" s="33"/>
    </row>
    <row r="75" spans="1:9">
      <c r="A75" s="33"/>
      <c r="B75" s="33"/>
      <c r="C75" s="33"/>
      <c r="D75" s="33"/>
      <c r="E75" s="33"/>
      <c r="F75" s="33"/>
      <c r="G75" s="33"/>
      <c r="H75" s="33"/>
      <c r="I75" s="33"/>
    </row>
    <row r="76" spans="1:9">
      <c r="A76" s="33"/>
      <c r="B76" s="33"/>
      <c r="C76" s="33"/>
      <c r="D76" s="33"/>
      <c r="E76" s="33"/>
      <c r="F76" s="33"/>
      <c r="G76" s="33"/>
      <c r="H76" s="33"/>
      <c r="I76" s="33"/>
    </row>
    <row r="77" spans="1:9">
      <c r="A77" s="33"/>
      <c r="B77" s="33"/>
      <c r="C77" s="33"/>
      <c r="D77" s="33"/>
      <c r="E77" s="33"/>
      <c r="F77" s="33"/>
      <c r="G77" s="33"/>
      <c r="H77" s="33"/>
      <c r="I77" s="33"/>
    </row>
    <row r="78" spans="1:9">
      <c r="A78" s="33"/>
      <c r="B78" s="33"/>
      <c r="C78" s="33"/>
      <c r="D78" s="33"/>
      <c r="E78" s="33"/>
      <c r="F78" s="33"/>
      <c r="G78" s="33"/>
      <c r="H78" s="33"/>
      <c r="I78" s="33"/>
    </row>
    <row r="79" spans="1:9">
      <c r="A79" s="33"/>
      <c r="B79" s="33"/>
      <c r="C79" s="33"/>
      <c r="D79" s="33"/>
      <c r="E79" s="33"/>
      <c r="F79" s="33"/>
      <c r="G79" s="33"/>
      <c r="H79" s="33"/>
      <c r="I79" s="33"/>
    </row>
    <row r="80" spans="1:9">
      <c r="A80" s="32"/>
      <c r="B80" s="32"/>
      <c r="C80" s="32"/>
      <c r="D80" s="33"/>
      <c r="E80" s="33"/>
      <c r="F80" s="33"/>
      <c r="G80" s="33"/>
      <c r="H80" s="33"/>
      <c r="I80" s="33"/>
    </row>
    <row r="81" spans="1:9">
      <c r="A81" s="33"/>
      <c r="B81" s="33"/>
      <c r="C81" s="33"/>
      <c r="D81" s="33"/>
      <c r="E81" s="33"/>
      <c r="F81" s="33"/>
      <c r="G81" s="33"/>
      <c r="H81" s="33"/>
      <c r="I81" s="33"/>
    </row>
    <row r="82" spans="1:9">
      <c r="A82" s="32"/>
      <c r="B82" s="33"/>
      <c r="C82" s="33"/>
      <c r="D82" s="33"/>
      <c r="E82" s="33"/>
      <c r="F82" s="33"/>
      <c r="G82" s="33"/>
      <c r="H82" s="33"/>
      <c r="I82" s="33"/>
    </row>
    <row r="83" spans="1:9">
      <c r="A83" s="33"/>
      <c r="B83" s="33"/>
      <c r="C83" s="33"/>
      <c r="D83" s="33"/>
      <c r="E83" s="33"/>
      <c r="F83" s="33"/>
      <c r="G83" s="33"/>
      <c r="H83" s="33"/>
      <c r="I83" s="33"/>
    </row>
    <row r="84" spans="1:9">
      <c r="A84" s="33"/>
      <c r="B84" s="33"/>
      <c r="C84" s="33"/>
      <c r="D84" s="33"/>
      <c r="E84" s="33"/>
      <c r="F84" s="33"/>
      <c r="G84" s="33"/>
      <c r="H84" s="33"/>
      <c r="I84" s="33"/>
    </row>
    <row r="85" spans="1:9">
      <c r="A85" s="36"/>
      <c r="B85" s="33"/>
      <c r="C85" s="33"/>
      <c r="D85" s="33"/>
      <c r="E85" s="33"/>
      <c r="F85" s="33"/>
      <c r="G85" s="33"/>
      <c r="H85" s="33"/>
      <c r="I85" s="33"/>
    </row>
    <row r="86" spans="1:9">
      <c r="A86" s="33"/>
      <c r="B86" s="33"/>
      <c r="C86" s="33"/>
      <c r="D86" s="33"/>
      <c r="E86" s="33"/>
      <c r="F86" s="33"/>
      <c r="G86" s="33"/>
      <c r="H86" s="33"/>
      <c r="I86" s="33"/>
    </row>
    <row r="87" spans="1:9">
      <c r="A87" s="32"/>
      <c r="B87" s="34"/>
      <c r="C87" s="33"/>
      <c r="D87" s="33"/>
      <c r="E87" s="33"/>
      <c r="F87" s="33"/>
      <c r="G87" s="33"/>
      <c r="H87" s="33"/>
      <c r="I87" s="33"/>
    </row>
    <row r="88" spans="1:9">
      <c r="A88" s="33"/>
      <c r="B88" s="33"/>
      <c r="C88" s="33"/>
      <c r="D88" s="33"/>
      <c r="E88" s="33"/>
      <c r="F88" s="33"/>
      <c r="G88" s="33"/>
      <c r="H88" s="33"/>
      <c r="I88" s="33"/>
    </row>
    <row r="89" spans="1:9">
      <c r="A89" s="36"/>
      <c r="B89" s="33"/>
      <c r="C89" s="33"/>
      <c r="D89" s="33"/>
      <c r="E89" s="33"/>
      <c r="F89" s="33"/>
      <c r="G89" s="33"/>
      <c r="H89" s="33"/>
      <c r="I89" s="33"/>
    </row>
    <row r="90" spans="1:9">
      <c r="A90" s="33"/>
      <c r="B90" s="33"/>
      <c r="C90" s="33"/>
      <c r="D90" s="35"/>
      <c r="E90" s="35"/>
      <c r="F90" s="33"/>
      <c r="G90" s="33"/>
      <c r="H90" s="33"/>
      <c r="I90" s="33"/>
    </row>
    <row r="91" spans="1:9">
      <c r="A91" s="33"/>
      <c r="B91" s="33"/>
      <c r="C91" s="35"/>
      <c r="D91" s="35"/>
      <c r="E91" s="35"/>
      <c r="F91" s="37"/>
      <c r="G91" s="37"/>
      <c r="H91" s="37"/>
      <c r="I91" s="33"/>
    </row>
    <row r="92" spans="1:9">
      <c r="A92" s="33"/>
      <c r="B92" s="33"/>
      <c r="C92" s="35"/>
      <c r="D92" s="35"/>
      <c r="E92" s="35"/>
      <c r="F92" s="37"/>
      <c r="G92" s="33"/>
      <c r="H92" s="33"/>
      <c r="I92" s="33"/>
    </row>
    <row r="93" spans="1:9">
      <c r="A93" s="33"/>
      <c r="B93" s="33"/>
      <c r="C93" s="35"/>
      <c r="D93" s="35"/>
      <c r="E93" s="35"/>
      <c r="F93" s="33"/>
      <c r="G93" s="33"/>
      <c r="H93" s="33"/>
      <c r="I93" s="33"/>
    </row>
    <row r="94" spans="1:9">
      <c r="A94" s="33"/>
      <c r="B94" s="33"/>
      <c r="C94" s="35"/>
      <c r="D94" s="35"/>
      <c r="E94" s="35"/>
      <c r="F94" s="33"/>
      <c r="G94" s="33"/>
      <c r="H94" s="33"/>
      <c r="I94" s="33"/>
    </row>
    <row r="95" spans="1:9">
      <c r="A95" s="33"/>
      <c r="B95" s="33"/>
      <c r="C95" s="35"/>
      <c r="D95" s="35"/>
      <c r="E95" s="35"/>
      <c r="F95" s="33"/>
      <c r="G95" s="33"/>
      <c r="H95" s="33"/>
      <c r="I95" s="33"/>
    </row>
    <row r="96" spans="1:9">
      <c r="A96" s="33"/>
      <c r="B96" s="33"/>
      <c r="C96" s="35"/>
      <c r="D96" s="35"/>
      <c r="E96" s="35"/>
      <c r="F96" s="33"/>
      <c r="G96" s="33"/>
      <c r="H96" s="33"/>
      <c r="I96" s="33"/>
    </row>
    <row r="97" spans="1:9">
      <c r="A97" s="33"/>
      <c r="B97" s="33"/>
      <c r="C97" s="35"/>
      <c r="D97" s="35"/>
      <c r="E97" s="35"/>
      <c r="F97" s="33"/>
      <c r="G97" s="33"/>
      <c r="H97" s="33"/>
      <c r="I97" s="33"/>
    </row>
    <row r="98" spans="1:9">
      <c r="A98" s="33"/>
      <c r="B98" s="33"/>
      <c r="C98" s="35"/>
      <c r="D98" s="35"/>
      <c r="E98" s="35"/>
      <c r="F98" s="33"/>
      <c r="G98" s="33"/>
      <c r="H98" s="33"/>
      <c r="I98" s="33"/>
    </row>
    <row r="99" spans="1:9">
      <c r="A99" s="33"/>
      <c r="B99" s="33"/>
      <c r="C99" s="35"/>
      <c r="D99" s="35"/>
      <c r="E99" s="35"/>
      <c r="F99" s="33"/>
      <c r="G99" s="33"/>
      <c r="H99" s="33"/>
      <c r="I99" s="33"/>
    </row>
    <row r="100" spans="1:9">
      <c r="A100" s="33"/>
      <c r="B100" s="33"/>
      <c r="C100" s="35"/>
      <c r="D100" s="35"/>
      <c r="E100" s="35"/>
      <c r="F100" s="33"/>
      <c r="G100" s="33"/>
      <c r="H100" s="33"/>
      <c r="I100" s="33"/>
    </row>
    <row r="101" spans="1:9">
      <c r="A101" s="33"/>
      <c r="B101" s="33"/>
      <c r="C101" s="35"/>
      <c r="D101" s="35"/>
      <c r="E101" s="35"/>
      <c r="F101" s="33"/>
      <c r="G101" s="33"/>
      <c r="H101" s="33"/>
      <c r="I101" s="33"/>
    </row>
    <row r="102" spans="1:9">
      <c r="A102" s="33"/>
      <c r="B102" s="35"/>
      <c r="C102" s="33"/>
      <c r="D102" s="33"/>
      <c r="E102" s="33"/>
      <c r="F102" s="33"/>
      <c r="G102" s="33"/>
      <c r="H102" s="33"/>
      <c r="I102" s="33"/>
    </row>
    <row r="103" spans="1:9">
      <c r="A103" s="33"/>
      <c r="B103" s="35"/>
      <c r="C103" s="33"/>
      <c r="D103" s="33"/>
      <c r="E103" s="33"/>
      <c r="F103" s="33"/>
      <c r="G103" s="33"/>
      <c r="H103" s="33"/>
      <c r="I103" s="33"/>
    </row>
    <row r="104" spans="1:9">
      <c r="A104" s="32"/>
      <c r="B104" s="35"/>
      <c r="C104" s="33"/>
      <c r="D104" s="33"/>
      <c r="E104" s="33"/>
      <c r="F104" s="33"/>
      <c r="G104" s="33"/>
      <c r="H104" s="33"/>
      <c r="I104" s="33"/>
    </row>
    <row r="105" spans="1:9">
      <c r="A105" s="33"/>
      <c r="B105" s="35"/>
      <c r="C105" s="33"/>
      <c r="D105" s="33"/>
      <c r="E105" s="33"/>
      <c r="F105" s="33"/>
      <c r="G105" s="33"/>
      <c r="H105" s="33"/>
      <c r="I105" s="33"/>
    </row>
    <row r="106" spans="1:9">
      <c r="A106" s="33"/>
      <c r="B106" s="33"/>
      <c r="C106" s="33"/>
      <c r="D106" s="33"/>
      <c r="E106" s="33"/>
      <c r="F106" s="33"/>
      <c r="G106" s="33"/>
      <c r="H106" s="33"/>
      <c r="I106" s="33"/>
    </row>
    <row r="107" spans="1:9">
      <c r="A107" s="33"/>
      <c r="B107" s="34"/>
      <c r="C107" s="34"/>
      <c r="D107" s="33"/>
      <c r="E107" s="33"/>
      <c r="F107" s="33"/>
      <c r="G107" s="33"/>
      <c r="H107" s="33"/>
      <c r="I107" s="33"/>
    </row>
    <row r="108" spans="1:9">
      <c r="A108" s="33"/>
      <c r="B108" s="34"/>
      <c r="C108" s="34"/>
      <c r="D108" s="33"/>
      <c r="E108" s="33"/>
      <c r="F108" s="33"/>
      <c r="G108" s="33"/>
      <c r="H108" s="33"/>
      <c r="I108" s="33"/>
    </row>
    <row r="109" spans="1:9">
      <c r="A109" s="33"/>
      <c r="B109" s="33"/>
      <c r="C109" s="33"/>
      <c r="D109" s="33"/>
      <c r="E109" s="33"/>
      <c r="F109" s="33"/>
      <c r="G109" s="33"/>
      <c r="H109" s="33"/>
      <c r="I109" s="33"/>
    </row>
    <row r="110" spans="1:9">
      <c r="A110" s="33"/>
      <c r="B110" s="38"/>
      <c r="C110" s="33"/>
      <c r="D110" s="33"/>
      <c r="E110" s="33"/>
      <c r="F110" s="33"/>
      <c r="G110" s="33"/>
      <c r="H110" s="33"/>
      <c r="I110" s="33"/>
    </row>
    <row r="111" spans="1:9">
      <c r="A111" s="33"/>
      <c r="B111" s="33"/>
      <c r="C111" s="33"/>
      <c r="D111" s="33"/>
      <c r="E111" s="33"/>
      <c r="F111" s="33"/>
      <c r="G111" s="33"/>
      <c r="H111" s="33"/>
      <c r="I111" s="33"/>
    </row>
    <row r="112" spans="1:9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>
      <c r="A113" s="33"/>
      <c r="B113" s="33"/>
      <c r="C113" s="33"/>
      <c r="D113" s="33"/>
      <c r="E113" s="33"/>
      <c r="F113" s="33"/>
      <c r="G113" s="33"/>
      <c r="H113" s="33"/>
      <c r="I113" s="33"/>
    </row>
  </sheetData>
  <pageMargins left="0.7" right="0.7" top="0.75" bottom="0.75" header="0.3" footer="0.3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09"/>
  <sheetViews>
    <sheetView zoomScaleNormal="100" workbookViewId="0">
      <selection activeCell="A82" sqref="A82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199</v>
      </c>
    </row>
    <row r="5" spans="1:18">
      <c r="A5" s="2" t="s">
        <v>49</v>
      </c>
      <c r="B5" s="2">
        <f>183-6*4-15</f>
        <v>144</v>
      </c>
      <c r="C5" s="2" t="s">
        <v>200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138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198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194</v>
      </c>
      <c r="B23" s="14">
        <f>E13</f>
        <v>41.875</v>
      </c>
      <c r="C23" s="3">
        <f>20-$B$7</f>
        <v>14.5</v>
      </c>
      <c r="D23" s="14">
        <f>Trasmittanze!F10</f>
        <v>0.72649572649572647</v>
      </c>
      <c r="E23" s="3">
        <v>1.3</v>
      </c>
      <c r="F23" s="3">
        <v>1.2</v>
      </c>
      <c r="G23" s="20">
        <f t="shared" si="0"/>
        <v>688.14583333333326</v>
      </c>
    </row>
    <row r="24" spans="1:18">
      <c r="A24" s="3" t="s">
        <v>195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196</v>
      </c>
      <c r="B25" s="3">
        <f>H13</f>
        <v>4.2</v>
      </c>
      <c r="C25" s="3">
        <f t="shared" si="1"/>
        <v>14.5</v>
      </c>
      <c r="D25" s="14">
        <f>Trasmittanze!F10</f>
        <v>0.72649572649572647</v>
      </c>
      <c r="E25" s="3">
        <v>1.3</v>
      </c>
      <c r="F25" s="3">
        <v>1</v>
      </c>
      <c r="G25" s="20">
        <f t="shared" si="0"/>
        <v>57.516666666666673</v>
      </c>
    </row>
    <row r="26" spans="1:18">
      <c r="A26" s="3" t="s">
        <v>197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-14881.32289772888</v>
      </c>
      <c r="H29" s="2" t="s">
        <v>39</v>
      </c>
    </row>
    <row r="30" spans="1:18">
      <c r="A30" s="1" t="s">
        <v>172</v>
      </c>
    </row>
    <row r="31" spans="1:18">
      <c r="A31" s="2" t="s">
        <v>41</v>
      </c>
      <c r="B31" s="2">
        <v>24</v>
      </c>
      <c r="C31" s="23" t="s">
        <v>185</v>
      </c>
    </row>
    <row r="32" spans="1:18">
      <c r="A32" s="2" t="s">
        <v>190</v>
      </c>
      <c r="B32" s="31">
        <v>0.6</v>
      </c>
      <c r="C32" s="2" t="s">
        <v>191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202</v>
      </c>
      <c r="B34" s="2">
        <f>250*B31*B32*0.5</f>
        <v>1800</v>
      </c>
      <c r="C34" s="2" t="s">
        <v>201</v>
      </c>
    </row>
    <row r="36" spans="1:7">
      <c r="A36" s="1" t="s">
        <v>60</v>
      </c>
    </row>
    <row r="37" spans="1:7">
      <c r="A37" s="2" t="s">
        <v>190</v>
      </c>
      <c r="B37" s="31">
        <v>0.6</v>
      </c>
      <c r="C37" s="2" t="s">
        <v>191</v>
      </c>
    </row>
    <row r="38" spans="1:7">
      <c r="A38" s="2" t="s">
        <v>169</v>
      </c>
      <c r="B38" s="2">
        <f>70*B31*B37</f>
        <v>1008</v>
      </c>
      <c r="C38" s="2" t="s">
        <v>42</v>
      </c>
    </row>
    <row r="39" spans="1:7">
      <c r="A39" s="2" t="s">
        <v>170</v>
      </c>
      <c r="B39" s="2">
        <f>B31*45*B37</f>
        <v>648</v>
      </c>
      <c r="C39" s="2" t="s">
        <v>43</v>
      </c>
    </row>
    <row r="41" spans="1:7">
      <c r="A41" s="1" t="s">
        <v>173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140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129</v>
      </c>
      <c r="B50" s="2">
        <f>G29+B33+B34+B38+B47</f>
        <v>-14594.06209772888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203</v>
      </c>
      <c r="F51" s="7"/>
    </row>
    <row r="52" spans="1:6">
      <c r="A52" s="24" t="s">
        <v>120</v>
      </c>
      <c r="B52" s="45">
        <f>B50+B51</f>
        <v>-13946.06209772888</v>
      </c>
      <c r="C52" s="24" t="s">
        <v>75</v>
      </c>
      <c r="D52" s="11"/>
      <c r="F52" s="7"/>
    </row>
    <row r="53" spans="1:6">
      <c r="A53" s="2" t="s">
        <v>174</v>
      </c>
      <c r="B53" s="25">
        <f>B52-B47</f>
        <v>-11005.32289772888</v>
      </c>
      <c r="C53" s="2" t="s">
        <v>75</v>
      </c>
      <c r="F53" s="7"/>
    </row>
    <row r="55" spans="1:6">
      <c r="A55" s="1" t="s">
        <v>177</v>
      </c>
    </row>
    <row r="56" spans="1:6">
      <c r="A56" s="2" t="s">
        <v>176</v>
      </c>
      <c r="B56" s="2">
        <v>0.8</v>
      </c>
      <c r="C56" s="23" t="s">
        <v>125</v>
      </c>
    </row>
    <row r="57" spans="1:6">
      <c r="A57" s="2" t="s">
        <v>77</v>
      </c>
      <c r="B57" s="2">
        <v>12</v>
      </c>
      <c r="C57" s="2" t="s">
        <v>123</v>
      </c>
    </row>
    <row r="58" spans="1:6">
      <c r="A58" s="19" t="s">
        <v>127</v>
      </c>
      <c r="B58" s="19">
        <f>-$B$5*(B52/1000)*$B$57/$B$56</f>
        <v>30123.494131094383</v>
      </c>
      <c r="C58" s="19" t="s">
        <v>78</v>
      </c>
    </row>
    <row r="59" spans="1:6">
      <c r="A59" s="2" t="s">
        <v>126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3012.3494131094385</v>
      </c>
      <c r="C60" s="24" t="s">
        <v>81</v>
      </c>
    </row>
    <row r="61" spans="1:6">
      <c r="A61" s="2" t="s">
        <v>85</v>
      </c>
      <c r="B61" s="2">
        <f>-$B$5*((B52-B47)/1000)*$B$57/$B$56*B59</f>
        <v>2377.149745909438</v>
      </c>
      <c r="C61" s="2" t="s">
        <v>81</v>
      </c>
      <c r="D61" s="11">
        <f>B61/B60*100</f>
        <v>78.913479809623809</v>
      </c>
      <c r="E61" s="2" t="s">
        <v>84</v>
      </c>
    </row>
    <row r="62" spans="1:6">
      <c r="A62" s="2" t="s">
        <v>86</v>
      </c>
      <c r="B62" s="2">
        <f>B60-B61</f>
        <v>635.19966720000048</v>
      </c>
      <c r="C62" s="2" t="s">
        <v>81</v>
      </c>
      <c r="D62" s="11">
        <f>B62/B60*100</f>
        <v>21.086520190376191</v>
      </c>
      <c r="E62" s="2" t="s">
        <v>84</v>
      </c>
    </row>
    <row r="64" spans="1:6">
      <c r="A64" s="1" t="s">
        <v>182</v>
      </c>
    </row>
    <row r="65" spans="1:5">
      <c r="A65" s="2" t="s">
        <v>175</v>
      </c>
      <c r="B65" s="2">
        <f>(1-0.9)*B47</f>
        <v>-294.07391999999993</v>
      </c>
      <c r="C65" s="2" t="s">
        <v>75</v>
      </c>
    </row>
    <row r="66" spans="1:5">
      <c r="A66" s="2" t="s">
        <v>164</v>
      </c>
      <c r="B66" s="2">
        <f>B5*B57*0.25</f>
        <v>432</v>
      </c>
      <c r="C66" s="2" t="s">
        <v>166</v>
      </c>
    </row>
    <row r="67" spans="1:5">
      <c r="A67" s="2" t="s">
        <v>165</v>
      </c>
      <c r="B67" s="2">
        <f>B66*B76</f>
        <v>95.04</v>
      </c>
      <c r="C67" s="2" t="s">
        <v>81</v>
      </c>
    </row>
    <row r="68" spans="1:5">
      <c r="A68" s="1"/>
    </row>
    <row r="69" spans="1:5">
      <c r="A69" s="1" t="s">
        <v>181</v>
      </c>
    </row>
    <row r="70" spans="1:5">
      <c r="A70" s="2" t="s">
        <v>89</v>
      </c>
      <c r="B70" s="2">
        <v>6</v>
      </c>
    </row>
    <row r="71" spans="1:5">
      <c r="A71" s="2" t="s">
        <v>87</v>
      </c>
      <c r="B71" s="2">
        <v>0.9</v>
      </c>
    </row>
    <row r="72" spans="1:5">
      <c r="A72" s="2" t="s">
        <v>134</v>
      </c>
      <c r="B72" s="2">
        <f>-B52/1000/B70</f>
        <v>2.3243436829548134</v>
      </c>
      <c r="C72" s="2" t="s">
        <v>135</v>
      </c>
      <c r="D72" s="11">
        <f>B72*3.4*1000</f>
        <v>7902.7685220463654</v>
      </c>
      <c r="E72" s="2" t="s">
        <v>137</v>
      </c>
    </row>
    <row r="73" spans="1:5">
      <c r="A73" s="24" t="s">
        <v>215</v>
      </c>
      <c r="B73" s="45">
        <f>B65+B53</f>
        <v>-11299.396817728881</v>
      </c>
      <c r="C73" s="24" t="s">
        <v>75</v>
      </c>
    </row>
    <row r="74" spans="1:5">
      <c r="A74" s="2" t="s">
        <v>186</v>
      </c>
      <c r="B74" s="2">
        <f>-$B$5*(B73/1000)*$B$57/$B$71</f>
        <v>21694.84189003945</v>
      </c>
      <c r="C74" s="2" t="s">
        <v>78</v>
      </c>
    </row>
    <row r="75" spans="1:5">
      <c r="A75" s="2" t="s">
        <v>128</v>
      </c>
      <c r="B75" s="2">
        <f>B74/B70/B71</f>
        <v>4017.5633129702687</v>
      </c>
      <c r="C75" s="2" t="s">
        <v>78</v>
      </c>
    </row>
    <row r="76" spans="1:5">
      <c r="A76" s="2" t="s">
        <v>90</v>
      </c>
      <c r="B76" s="2">
        <v>0.22</v>
      </c>
      <c r="C76" s="2" t="s">
        <v>79</v>
      </c>
    </row>
    <row r="77" spans="1:5">
      <c r="A77" s="24" t="s">
        <v>91</v>
      </c>
      <c r="B77" s="24">
        <f>B75*B76</f>
        <v>883.86392885345913</v>
      </c>
      <c r="C77" s="24" t="s">
        <v>81</v>
      </c>
    </row>
    <row r="79" spans="1:5">
      <c r="A79" s="21" t="s">
        <v>92</v>
      </c>
      <c r="B79" s="21">
        <f>B60-B77</f>
        <v>2128.4854842559794</v>
      </c>
      <c r="C79" s="21" t="s">
        <v>81</v>
      </c>
    </row>
    <row r="81" spans="1:8">
      <c r="A81" s="1" t="s">
        <v>220</v>
      </c>
    </row>
    <row r="82" spans="1:8">
      <c r="A82" s="2" t="s">
        <v>143</v>
      </c>
      <c r="B82" s="2">
        <v>5000</v>
      </c>
      <c r="C82" s="2" t="s">
        <v>145</v>
      </c>
    </row>
    <row r="83" spans="1:8">
      <c r="A83" s="2" t="s">
        <v>142</v>
      </c>
      <c r="B83" s="2">
        <v>2500</v>
      </c>
      <c r="C83" s="2" t="s">
        <v>145</v>
      </c>
    </row>
    <row r="84" spans="1:8">
      <c r="A84" s="28" t="s">
        <v>144</v>
      </c>
      <c r="B84" s="2">
        <f>SUM(B82:B83)</f>
        <v>7500</v>
      </c>
      <c r="C84" s="2" t="s">
        <v>145</v>
      </c>
    </row>
    <row r="86" spans="1:8">
      <c r="A86" s="21" t="s">
        <v>146</v>
      </c>
      <c r="B86" s="29">
        <f>B84/B79</f>
        <v>3.5236322049063236</v>
      </c>
      <c r="C86" s="24" t="s">
        <v>147</v>
      </c>
    </row>
    <row r="88" spans="1:8">
      <c r="A88" s="30" t="s">
        <v>148</v>
      </c>
      <c r="B88" s="16" t="s">
        <v>153</v>
      </c>
      <c r="C88" s="16" t="s">
        <v>151</v>
      </c>
      <c r="D88" s="16" t="s">
        <v>152</v>
      </c>
      <c r="E88" s="16" t="s">
        <v>149</v>
      </c>
    </row>
    <row r="89" spans="1:8">
      <c r="A89" s="3">
        <v>0</v>
      </c>
      <c r="B89" s="3">
        <f>-$B$84</f>
        <v>-7500</v>
      </c>
      <c r="C89" s="3"/>
      <c r="D89" s="20"/>
      <c r="E89" s="20">
        <f>B89</f>
        <v>-7500</v>
      </c>
    </row>
    <row r="90" spans="1:8">
      <c r="A90" s="3">
        <v>1</v>
      </c>
      <c r="B90" s="3">
        <f t="shared" ref="B90:B99" si="2">-$B$67</f>
        <v>-95.04</v>
      </c>
      <c r="C90" s="20">
        <f>-'PDC+VMC'!$B$60</f>
        <v>-3012.3494131094385</v>
      </c>
      <c r="D90" s="20">
        <f>-$B$77+B90</f>
        <v>-978.90392885345909</v>
      </c>
      <c r="E90" s="20">
        <f>D90-C90</f>
        <v>2033.4454842559794</v>
      </c>
      <c r="F90" s="27" t="s">
        <v>162</v>
      </c>
      <c r="G90" s="27"/>
      <c r="H90" s="27"/>
    </row>
    <row r="91" spans="1:8">
      <c r="A91" s="3">
        <v>2</v>
      </c>
      <c r="B91" s="3">
        <f t="shared" si="2"/>
        <v>-95.04</v>
      </c>
      <c r="C91" s="20">
        <f>-'PDC+VMC'!$B$60</f>
        <v>-3012.3494131094385</v>
      </c>
      <c r="D91" s="20">
        <f t="shared" ref="D91:D99" si="3">-$B$77+B91</f>
        <v>-978.90392885345909</v>
      </c>
      <c r="E91" s="20">
        <f>D91-C91</f>
        <v>2033.4454842559794</v>
      </c>
      <c r="F91" s="27" t="s">
        <v>163</v>
      </c>
    </row>
    <row r="92" spans="1:8">
      <c r="A92" s="3">
        <v>3</v>
      </c>
      <c r="B92" s="3">
        <f t="shared" si="2"/>
        <v>-95.04</v>
      </c>
      <c r="C92" s="20">
        <f>-'PDC+VMC'!$B$60</f>
        <v>-3012.3494131094385</v>
      </c>
      <c r="D92" s="20">
        <f t="shared" si="3"/>
        <v>-978.90392885345909</v>
      </c>
      <c r="E92" s="20">
        <f t="shared" ref="E92:E99" si="4">D92-C92</f>
        <v>2033.4454842559794</v>
      </c>
    </row>
    <row r="93" spans="1:8">
      <c r="A93" s="3">
        <v>4</v>
      </c>
      <c r="B93" s="3">
        <f t="shared" si="2"/>
        <v>-95.04</v>
      </c>
      <c r="C93" s="20">
        <f>-'PDC+VMC'!$B$60</f>
        <v>-3012.3494131094385</v>
      </c>
      <c r="D93" s="20">
        <f t="shared" si="3"/>
        <v>-978.90392885345909</v>
      </c>
      <c r="E93" s="20">
        <f t="shared" si="4"/>
        <v>2033.4454842559794</v>
      </c>
    </row>
    <row r="94" spans="1:8">
      <c r="A94" s="3">
        <v>5</v>
      </c>
      <c r="B94" s="3">
        <f t="shared" si="2"/>
        <v>-95.04</v>
      </c>
      <c r="C94" s="20">
        <f>-'PDC+VMC'!$B$60</f>
        <v>-3012.3494131094385</v>
      </c>
      <c r="D94" s="20">
        <f t="shared" si="3"/>
        <v>-978.90392885345909</v>
      </c>
      <c r="E94" s="20">
        <f t="shared" si="4"/>
        <v>2033.4454842559794</v>
      </c>
    </row>
    <row r="95" spans="1:8">
      <c r="A95" s="3">
        <v>6</v>
      </c>
      <c r="B95" s="3">
        <f t="shared" si="2"/>
        <v>-95.04</v>
      </c>
      <c r="C95" s="20">
        <f>-'PDC+VMC'!$B$60</f>
        <v>-3012.3494131094385</v>
      </c>
      <c r="D95" s="20">
        <f t="shared" si="3"/>
        <v>-978.90392885345909</v>
      </c>
      <c r="E95" s="20">
        <f t="shared" si="4"/>
        <v>2033.4454842559794</v>
      </c>
    </row>
    <row r="96" spans="1:8">
      <c r="A96" s="3">
        <v>7</v>
      </c>
      <c r="B96" s="3">
        <f t="shared" si="2"/>
        <v>-95.04</v>
      </c>
      <c r="C96" s="20">
        <f>-'PDC+VMC'!$B$60</f>
        <v>-3012.3494131094385</v>
      </c>
      <c r="D96" s="20">
        <f t="shared" si="3"/>
        <v>-978.90392885345909</v>
      </c>
      <c r="E96" s="20">
        <f t="shared" si="4"/>
        <v>2033.4454842559794</v>
      </c>
    </row>
    <row r="97" spans="1:7">
      <c r="A97" s="3">
        <v>8</v>
      </c>
      <c r="B97" s="3">
        <f t="shared" si="2"/>
        <v>-95.04</v>
      </c>
      <c r="C97" s="20">
        <f>-'PDC+VMC'!$B$60</f>
        <v>-3012.3494131094385</v>
      </c>
      <c r="D97" s="20">
        <f t="shared" si="3"/>
        <v>-978.90392885345909</v>
      </c>
      <c r="E97" s="20">
        <f t="shared" si="4"/>
        <v>2033.4454842559794</v>
      </c>
    </row>
    <row r="98" spans="1:7">
      <c r="A98" s="3">
        <v>9</v>
      </c>
      <c r="B98" s="3">
        <f t="shared" si="2"/>
        <v>-95.04</v>
      </c>
      <c r="C98" s="20">
        <f>-'PDC+VMC'!$B$60</f>
        <v>-3012.3494131094385</v>
      </c>
      <c r="D98" s="20">
        <f t="shared" si="3"/>
        <v>-978.90392885345909</v>
      </c>
      <c r="E98" s="20">
        <f t="shared" si="4"/>
        <v>2033.4454842559794</v>
      </c>
    </row>
    <row r="99" spans="1:7">
      <c r="A99" s="3">
        <v>10</v>
      </c>
      <c r="B99" s="3">
        <f t="shared" si="2"/>
        <v>-95.04</v>
      </c>
      <c r="C99" s="20">
        <f>-'PDC+VMC'!$B$60</f>
        <v>-3012.3494131094385</v>
      </c>
      <c r="D99" s="20">
        <f t="shared" si="3"/>
        <v>-978.90392885345909</v>
      </c>
      <c r="E99" s="20">
        <f t="shared" si="4"/>
        <v>2033.4454842559794</v>
      </c>
    </row>
    <row r="100" spans="1:7">
      <c r="A100" s="3"/>
      <c r="B100" s="3">
        <f>SUM(B89:B99)</f>
        <v>-8450.4000000000015</v>
      </c>
      <c r="C100" s="20">
        <f>SUM(C90:C99)</f>
        <v>-30123.49413109438</v>
      </c>
      <c r="D100" s="20">
        <f>SUM(D89:D99)</f>
        <v>-9789.0392885345882</v>
      </c>
      <c r="E100" s="20">
        <f>SUM(E89:E99)</f>
        <v>12834.454842559791</v>
      </c>
    </row>
    <row r="101" spans="1:7">
      <c r="A101" s="2" t="s">
        <v>150</v>
      </c>
      <c r="B101" s="25">
        <f>E100</f>
        <v>12834.454842559791</v>
      </c>
      <c r="C101" s="2" t="s">
        <v>145</v>
      </c>
    </row>
    <row r="102" spans="1:7">
      <c r="B102" s="25"/>
    </row>
    <row r="103" spans="1:7">
      <c r="A103" s="1" t="s">
        <v>161</v>
      </c>
      <c r="B103" s="25"/>
    </row>
    <row r="104" spans="1:7">
      <c r="A104" s="2" t="s">
        <v>156</v>
      </c>
      <c r="B104" s="25">
        <f>B58-B75</f>
        <v>26105.930818124114</v>
      </c>
      <c r="C104" s="2" t="s">
        <v>78</v>
      </c>
    </row>
    <row r="105" spans="1:7">
      <c r="A105" s="2" t="s">
        <v>184</v>
      </c>
      <c r="B105" s="2">
        <v>11630</v>
      </c>
      <c r="C105" s="2" t="s">
        <v>78</v>
      </c>
    </row>
    <row r="106" spans="1:7">
      <c r="A106" s="2" t="s">
        <v>154</v>
      </c>
      <c r="B106" s="11">
        <f>B104/B105</f>
        <v>2.2447060032780839</v>
      </c>
      <c r="C106" s="11">
        <f>B106/0.82*1000</f>
        <v>2737.4463454610782</v>
      </c>
      <c r="D106" s="2" t="s">
        <v>155</v>
      </c>
      <c r="G106"/>
    </row>
    <row r="107" spans="1:7">
      <c r="B107" s="11"/>
      <c r="C107" s="11"/>
    </row>
    <row r="108" spans="1:7">
      <c r="A108" s="2" t="s">
        <v>159</v>
      </c>
      <c r="B108" s="2">
        <v>0.255</v>
      </c>
      <c r="C108" s="2" t="s">
        <v>157</v>
      </c>
    </row>
    <row r="109" spans="1:7">
      <c r="A109" s="2" t="s">
        <v>158</v>
      </c>
      <c r="B109" s="7">
        <f>B108*B104/1000</f>
        <v>6.6570123586216496</v>
      </c>
      <c r="C109" s="2" t="s">
        <v>160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9"/>
  <sheetViews>
    <sheetView zoomScale="130" zoomScaleNormal="130" workbookViewId="0">
      <selection activeCell="L16" sqref="L16"/>
    </sheetView>
  </sheetViews>
  <sheetFormatPr defaultRowHeight="14.5"/>
  <cols>
    <col min="1" max="1" width="16" style="2" customWidth="1"/>
    <col min="2" max="2" width="8.7265625" style="2"/>
    <col min="3" max="3" width="7.1796875" style="2" customWidth="1"/>
    <col min="4" max="5" width="5.81640625" style="2" bestFit="1" customWidth="1"/>
    <col min="6" max="6" width="6.453125" style="2" customWidth="1"/>
    <col min="7" max="7" width="3.54296875" style="2" customWidth="1"/>
    <col min="8" max="8" width="11.7265625" style="2" customWidth="1"/>
    <col min="9" max="9" width="7.6328125" style="2" customWidth="1"/>
    <col min="10" max="10" width="7.08984375" style="2" customWidth="1"/>
    <col min="11" max="11" width="4.81640625" style="2" bestFit="1" customWidth="1"/>
    <col min="12" max="12" width="5.81640625" style="2" bestFit="1" customWidth="1"/>
    <col min="13" max="13" width="6.7265625" style="2" customWidth="1"/>
    <col min="14" max="16384" width="8.7265625" style="2"/>
  </cols>
  <sheetData>
    <row r="1" spans="1:20">
      <c r="A1" s="1" t="s">
        <v>207</v>
      </c>
    </row>
    <row r="3" spans="1:20">
      <c r="A3" s="47" t="s">
        <v>22</v>
      </c>
      <c r="B3" s="48"/>
      <c r="C3" s="48"/>
      <c r="D3" s="16" t="s">
        <v>113</v>
      </c>
      <c r="E3" s="16" t="s">
        <v>26</v>
      </c>
      <c r="F3" s="16" t="s">
        <v>19</v>
      </c>
      <c r="H3" s="47" t="s">
        <v>22</v>
      </c>
      <c r="I3" s="48"/>
      <c r="J3" s="48"/>
      <c r="K3" s="16" t="s">
        <v>113</v>
      </c>
      <c r="L3" s="16" t="s">
        <v>26</v>
      </c>
      <c r="M3" s="16" t="s">
        <v>19</v>
      </c>
      <c r="O3" s="47" t="s">
        <v>22</v>
      </c>
      <c r="P3" s="48"/>
      <c r="Q3" s="48"/>
      <c r="R3" s="16" t="s">
        <v>113</v>
      </c>
      <c r="S3" s="16" t="s">
        <v>26</v>
      </c>
      <c r="T3" s="16" t="s">
        <v>19</v>
      </c>
    </row>
    <row r="4" spans="1:20">
      <c r="A4" s="8" t="s">
        <v>121</v>
      </c>
      <c r="B4" s="9"/>
      <c r="C4" s="10"/>
      <c r="D4" s="10"/>
      <c r="E4" s="3"/>
      <c r="F4" s="3">
        <v>0.12</v>
      </c>
      <c r="H4" s="8" t="s">
        <v>121</v>
      </c>
      <c r="I4" s="9"/>
      <c r="J4" s="10"/>
      <c r="K4" s="10"/>
      <c r="L4" s="3"/>
      <c r="M4" s="3">
        <v>0.12</v>
      </c>
      <c r="O4" s="3" t="s">
        <v>121</v>
      </c>
      <c r="P4" s="3"/>
      <c r="Q4" s="3"/>
      <c r="R4" s="3"/>
      <c r="S4" s="3"/>
      <c r="T4" s="3">
        <v>0.12</v>
      </c>
    </row>
    <row r="5" spans="1:20">
      <c r="A5" s="4" t="s">
        <v>16</v>
      </c>
      <c r="B5" s="5"/>
      <c r="C5" s="6"/>
      <c r="D5" s="3">
        <v>0.02</v>
      </c>
      <c r="E5" s="3">
        <v>1</v>
      </c>
      <c r="F5" s="3">
        <f>D5/E5</f>
        <v>0.02</v>
      </c>
      <c r="H5" s="39" t="s">
        <v>205</v>
      </c>
      <c r="I5" s="40"/>
      <c r="J5" s="41"/>
      <c r="K5" s="43">
        <v>0.06</v>
      </c>
      <c r="L5" s="43">
        <v>2.3E-2</v>
      </c>
      <c r="M5" s="43">
        <f>K5/L5</f>
        <v>2.6086956521739131</v>
      </c>
      <c r="O5" s="3" t="s">
        <v>341</v>
      </c>
      <c r="P5" s="3"/>
      <c r="Q5" s="3"/>
      <c r="R5" s="3">
        <f>10/1000</f>
        <v>0.01</v>
      </c>
      <c r="S5" s="3">
        <v>3.7000000000000002E-3</v>
      </c>
      <c r="T5" s="3">
        <f>R5/S5</f>
        <v>2.7027027027027026</v>
      </c>
    </row>
    <row r="6" spans="1:20">
      <c r="A6" s="8" t="s">
        <v>342</v>
      </c>
      <c r="B6" s="9"/>
      <c r="C6" s="10"/>
      <c r="D6" s="3">
        <v>0.4</v>
      </c>
      <c r="E6" s="3">
        <v>0.34</v>
      </c>
      <c r="F6" s="13">
        <f>D6/E6</f>
        <v>1.1764705882352942</v>
      </c>
      <c r="H6" s="4" t="s">
        <v>16</v>
      </c>
      <c r="I6" s="5"/>
      <c r="J6" s="6"/>
      <c r="K6" s="3">
        <v>0.02</v>
      </c>
      <c r="L6" s="3">
        <v>1</v>
      </c>
      <c r="M6" s="3">
        <f>K6/L6</f>
        <v>0.02</v>
      </c>
      <c r="O6" s="3" t="s">
        <v>16</v>
      </c>
      <c r="P6" s="3"/>
      <c r="Q6" s="3"/>
      <c r="R6" s="3">
        <v>0.02</v>
      </c>
      <c r="S6" s="3">
        <v>1</v>
      </c>
      <c r="T6" s="3">
        <f>R6/S6</f>
        <v>0.02</v>
      </c>
    </row>
    <row r="7" spans="1:20">
      <c r="A7" s="8" t="s">
        <v>16</v>
      </c>
      <c r="B7" s="9"/>
      <c r="C7" s="10"/>
      <c r="D7" s="3">
        <v>0.02</v>
      </c>
      <c r="E7" s="3">
        <v>1</v>
      </c>
      <c r="F7" s="13">
        <f>D7/E7</f>
        <v>0.02</v>
      </c>
      <c r="H7" s="8" t="s">
        <v>17</v>
      </c>
      <c r="I7" s="9"/>
      <c r="J7" s="10"/>
      <c r="K7" s="3">
        <v>0.3</v>
      </c>
      <c r="L7" s="3">
        <v>0.51</v>
      </c>
      <c r="M7" s="13">
        <f>K7/L7</f>
        <v>0.58823529411764708</v>
      </c>
      <c r="O7" s="8" t="s">
        <v>17</v>
      </c>
      <c r="P7" s="9"/>
      <c r="Q7" s="10"/>
      <c r="R7" s="3">
        <v>0.4</v>
      </c>
      <c r="S7" s="3">
        <v>0.34</v>
      </c>
      <c r="T7" s="13">
        <f>R7/S7</f>
        <v>1.1764705882352942</v>
      </c>
    </row>
    <row r="8" spans="1:20">
      <c r="A8" s="4" t="s">
        <v>122</v>
      </c>
      <c r="B8" s="5"/>
      <c r="C8" s="5"/>
      <c r="D8" s="3"/>
      <c r="E8" s="3"/>
      <c r="F8" s="13">
        <v>0.04</v>
      </c>
      <c r="H8" s="8" t="s">
        <v>16</v>
      </c>
      <c r="I8" s="9"/>
      <c r="J8" s="10"/>
      <c r="K8" s="3">
        <v>0.02</v>
      </c>
      <c r="L8" s="3">
        <v>1</v>
      </c>
      <c r="M8" s="13">
        <f>K8/L8</f>
        <v>0.02</v>
      </c>
      <c r="O8" s="8" t="s">
        <v>16</v>
      </c>
      <c r="P8" s="9"/>
      <c r="Q8" s="10"/>
      <c r="R8" s="3">
        <v>0.02</v>
      </c>
      <c r="S8" s="3">
        <v>1</v>
      </c>
      <c r="T8" s="13">
        <f>R8/S8</f>
        <v>0.02</v>
      </c>
    </row>
    <row r="9" spans="1:20">
      <c r="E9" s="2" t="s">
        <v>20</v>
      </c>
      <c r="F9" s="12">
        <f>SUM(F4:F8)</f>
        <v>1.3764705882352941</v>
      </c>
      <c r="H9" s="4" t="s">
        <v>122</v>
      </c>
      <c r="I9" s="5"/>
      <c r="J9" s="5"/>
      <c r="K9" s="3"/>
      <c r="L9" s="3"/>
      <c r="M9" s="13">
        <v>0.04</v>
      </c>
      <c r="O9" s="4" t="s">
        <v>122</v>
      </c>
      <c r="P9" s="5"/>
      <c r="Q9" s="5"/>
      <c r="R9" s="3"/>
      <c r="S9" s="3"/>
      <c r="T9" s="13">
        <v>0.04</v>
      </c>
    </row>
    <row r="10" spans="1:20">
      <c r="E10" s="2" t="s">
        <v>21</v>
      </c>
      <c r="F10" s="12">
        <f>F9^-1</f>
        <v>0.72649572649572647</v>
      </c>
      <c r="L10" s="2" t="s">
        <v>20</v>
      </c>
      <c r="M10" s="12">
        <f>SUM(M4:M9)</f>
        <v>3.3969309462915604</v>
      </c>
      <c r="S10" s="2" t="s">
        <v>20</v>
      </c>
      <c r="T10" s="12">
        <f>SUM(T4:T9)</f>
        <v>4.0791732909379963</v>
      </c>
    </row>
    <row r="11" spans="1:20">
      <c r="F11" s="2" t="s">
        <v>14</v>
      </c>
      <c r="L11" s="2" t="s">
        <v>21</v>
      </c>
      <c r="M11" s="12">
        <f>M10^-1</f>
        <v>0.29438337599759068</v>
      </c>
      <c r="S11" s="2" t="s">
        <v>21</v>
      </c>
      <c r="T11" s="12">
        <f>T10^-1</f>
        <v>0.24514771221451404</v>
      </c>
    </row>
    <row r="12" spans="1:20">
      <c r="M12" s="2" t="s">
        <v>14</v>
      </c>
      <c r="T12" s="2" t="s">
        <v>14</v>
      </c>
    </row>
    <row r="14" spans="1:20">
      <c r="A14" s="47" t="s">
        <v>23</v>
      </c>
      <c r="B14" s="48"/>
      <c r="C14" s="48"/>
      <c r="D14" s="16" t="s">
        <v>113</v>
      </c>
      <c r="E14" s="16" t="s">
        <v>26</v>
      </c>
      <c r="F14" s="16" t="s">
        <v>19</v>
      </c>
      <c r="H14" s="47" t="s">
        <v>119</v>
      </c>
      <c r="I14" s="48"/>
      <c r="J14" s="48"/>
      <c r="K14" s="16" t="s">
        <v>113</v>
      </c>
      <c r="L14" s="16" t="s">
        <v>26</v>
      </c>
      <c r="M14" s="16" t="s">
        <v>19</v>
      </c>
    </row>
    <row r="15" spans="1:20">
      <c r="A15" s="8" t="s">
        <v>121</v>
      </c>
      <c r="B15" s="9"/>
      <c r="C15" s="10"/>
      <c r="D15" s="10"/>
      <c r="E15" s="3"/>
      <c r="F15" s="13">
        <v>0.1</v>
      </c>
      <c r="H15" s="8" t="s">
        <v>15</v>
      </c>
      <c r="I15" s="9"/>
      <c r="J15" s="10"/>
      <c r="K15" s="10"/>
      <c r="L15" s="3"/>
      <c r="M15" s="13">
        <v>0.1</v>
      </c>
    </row>
    <row r="16" spans="1:20">
      <c r="A16" s="4" t="s">
        <v>16</v>
      </c>
      <c r="B16" s="5"/>
      <c r="C16" s="6"/>
      <c r="D16" s="3">
        <v>0.02</v>
      </c>
      <c r="E16" s="3">
        <v>0.28999999999999998</v>
      </c>
      <c r="F16" s="13">
        <f>D16/E16</f>
        <v>6.8965517241379323E-2</v>
      </c>
      <c r="H16" s="39" t="s">
        <v>206</v>
      </c>
      <c r="I16" s="40"/>
      <c r="J16" s="41" t="s">
        <v>328</v>
      </c>
      <c r="K16" s="42">
        <v>0.1</v>
      </c>
      <c r="L16" s="43">
        <v>2.3E-2</v>
      </c>
      <c r="M16" s="44">
        <f>K16/L16</f>
        <v>4.3478260869565224</v>
      </c>
      <c r="N16" s="23"/>
    </row>
    <row r="17" spans="1:14">
      <c r="A17" s="8" t="s">
        <v>24</v>
      </c>
      <c r="B17" s="9"/>
      <c r="C17" s="10"/>
      <c r="D17" s="3">
        <v>0.2</v>
      </c>
      <c r="E17" s="3">
        <v>1.91</v>
      </c>
      <c r="F17" s="13">
        <f>D17/E17</f>
        <v>0.10471204188481677</v>
      </c>
      <c r="H17" s="4" t="s">
        <v>16</v>
      </c>
      <c r="I17" s="5"/>
      <c r="J17" s="6"/>
      <c r="K17" s="3">
        <v>0</v>
      </c>
      <c r="L17" s="3">
        <v>0.28999999999999998</v>
      </c>
      <c r="M17" s="13">
        <f>K17/L17</f>
        <v>0</v>
      </c>
      <c r="N17" s="23"/>
    </row>
    <row r="18" spans="1:14">
      <c r="A18" s="8" t="s">
        <v>25</v>
      </c>
      <c r="B18" s="9"/>
      <c r="C18" s="10"/>
      <c r="D18" s="3">
        <v>2E-3</v>
      </c>
      <c r="E18" s="3">
        <v>0.17</v>
      </c>
      <c r="F18" s="13">
        <f>D18/E18</f>
        <v>1.1764705882352941E-2</v>
      </c>
      <c r="H18" s="8" t="s">
        <v>24</v>
      </c>
      <c r="I18" s="9"/>
      <c r="J18" s="10"/>
      <c r="K18" s="3">
        <v>0</v>
      </c>
      <c r="L18" s="3">
        <v>1.91</v>
      </c>
      <c r="M18" s="13">
        <f>K18/L18</f>
        <v>0</v>
      </c>
    </row>
    <row r="19" spans="1:14">
      <c r="A19" s="4" t="s">
        <v>122</v>
      </c>
      <c r="B19" s="5"/>
      <c r="C19" s="5"/>
      <c r="D19" s="3"/>
      <c r="E19" s="3"/>
      <c r="F19" s="13">
        <v>0.04</v>
      </c>
      <c r="H19" s="8" t="s">
        <v>25</v>
      </c>
      <c r="I19" s="9"/>
      <c r="J19" s="10"/>
      <c r="K19" s="3">
        <v>0</v>
      </c>
      <c r="L19" s="3">
        <v>0.17</v>
      </c>
      <c r="M19" s="13">
        <f>K19/L19</f>
        <v>0</v>
      </c>
    </row>
    <row r="20" spans="1:14">
      <c r="E20" s="2" t="s">
        <v>20</v>
      </c>
      <c r="F20" s="12">
        <f>SUM(F15:F19)</f>
        <v>0.325442265008549</v>
      </c>
      <c r="H20" s="4" t="s">
        <v>18</v>
      </c>
      <c r="I20" s="5"/>
      <c r="J20" s="5"/>
      <c r="K20" s="3"/>
      <c r="L20" s="3"/>
      <c r="M20" s="13">
        <v>0.04</v>
      </c>
    </row>
    <row r="21" spans="1:14">
      <c r="E21" s="2" t="s">
        <v>21</v>
      </c>
      <c r="F21" s="12">
        <f>F20^-1</f>
        <v>3.0727416427418581</v>
      </c>
      <c r="L21" s="2" t="s">
        <v>20</v>
      </c>
      <c r="M21" s="12">
        <f>SUM(M15:M20)</f>
        <v>4.4878260869565221</v>
      </c>
    </row>
    <row r="22" spans="1:14">
      <c r="F22" s="2" t="s">
        <v>14</v>
      </c>
      <c r="L22" s="2" t="s">
        <v>21</v>
      </c>
      <c r="M22" s="12">
        <f>M21^-1</f>
        <v>0.22282503390815731</v>
      </c>
    </row>
    <row r="23" spans="1:14">
      <c r="M23" s="2" t="s">
        <v>14</v>
      </c>
    </row>
    <row r="24" spans="1:14">
      <c r="A24" s="1" t="s">
        <v>204</v>
      </c>
      <c r="H24" s="1" t="s">
        <v>208</v>
      </c>
    </row>
    <row r="25" spans="1:14">
      <c r="A25" s="2" t="s">
        <v>44</v>
      </c>
      <c r="B25" s="2">
        <v>5.8</v>
      </c>
      <c r="C25" s="2" t="s">
        <v>12</v>
      </c>
      <c r="H25" s="2" t="s">
        <v>44</v>
      </c>
      <c r="I25" s="2">
        <v>1.2</v>
      </c>
      <c r="J25" s="2" t="s">
        <v>12</v>
      </c>
    </row>
    <row r="26" spans="1:14">
      <c r="A26" s="2" t="s">
        <v>45</v>
      </c>
      <c r="B26" s="7">
        <f>(1/B25+0.04+0.12)^-1</f>
        <v>3.0082987551867215</v>
      </c>
      <c r="C26" s="2" t="s">
        <v>12</v>
      </c>
      <c r="H26" s="2" t="s">
        <v>45</v>
      </c>
      <c r="I26" s="7">
        <f>(1/I25+0.04+0.12)^-1</f>
        <v>1.006711409395973</v>
      </c>
      <c r="J26" s="2" t="s">
        <v>12</v>
      </c>
    </row>
    <row r="28" spans="1:14">
      <c r="A28" s="1" t="s">
        <v>46</v>
      </c>
    </row>
    <row r="29" spans="1:14">
      <c r="A29" s="2" t="s">
        <v>27</v>
      </c>
      <c r="B29" s="7">
        <f>Terreno!B13</f>
        <v>0.57238949478638423</v>
      </c>
      <c r="C29" s="2" t="s">
        <v>14</v>
      </c>
    </row>
  </sheetData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2"/>
  <sheetViews>
    <sheetView zoomScale="140" zoomScaleNormal="140" workbookViewId="0">
      <selection activeCell="B13" sqref="B13"/>
    </sheetView>
  </sheetViews>
  <sheetFormatPr defaultRowHeight="14.5"/>
  <cols>
    <col min="1" max="1" width="15.1796875" style="2" customWidth="1"/>
    <col min="2" max="2" width="10.6328125" style="2" customWidth="1"/>
    <col min="3" max="3" width="10.81640625" style="2" customWidth="1"/>
    <col min="4" max="4" width="7.26953125" style="2" customWidth="1"/>
    <col min="5" max="16384" width="8.7265625" style="2"/>
  </cols>
  <sheetData>
    <row r="1" spans="1:4">
      <c r="A1" s="1" t="s">
        <v>93</v>
      </c>
    </row>
    <row r="2" spans="1:4">
      <c r="A2" s="2" t="s">
        <v>94</v>
      </c>
      <c r="B2" s="2">
        <f>24.8*6.7</f>
        <v>166.16</v>
      </c>
      <c r="C2" s="2" t="s">
        <v>1</v>
      </c>
      <c r="D2" s="2" t="s">
        <v>95</v>
      </c>
    </row>
    <row r="3" spans="1:4">
      <c r="A3" s="2" t="s">
        <v>96</v>
      </c>
      <c r="B3" s="2">
        <f>24.8*2+6.7*2</f>
        <v>63</v>
      </c>
      <c r="C3" s="2" t="s">
        <v>1</v>
      </c>
      <c r="D3" s="2" t="s">
        <v>97</v>
      </c>
    </row>
    <row r="4" spans="1:4">
      <c r="A4" s="2" t="s">
        <v>98</v>
      </c>
      <c r="B4" s="2">
        <v>2</v>
      </c>
      <c r="C4" s="2" t="s">
        <v>99</v>
      </c>
      <c r="D4" s="2" t="s">
        <v>100</v>
      </c>
    </row>
    <row r="5" spans="1:4">
      <c r="A5" s="2" t="s">
        <v>101</v>
      </c>
      <c r="B5" s="2">
        <v>0.28999999999999998</v>
      </c>
      <c r="C5" s="2" t="s">
        <v>4</v>
      </c>
      <c r="D5" s="2" t="s">
        <v>102</v>
      </c>
    </row>
    <row r="6" spans="1:4">
      <c r="A6" s="2" t="s">
        <v>103</v>
      </c>
      <c r="B6" s="7">
        <f>D22</f>
        <v>0.33346118721461188</v>
      </c>
      <c r="C6" s="2" t="s">
        <v>14</v>
      </c>
    </row>
    <row r="8" spans="1:4">
      <c r="A8" s="2" t="s">
        <v>104</v>
      </c>
    </row>
    <row r="9" spans="1:4">
      <c r="A9" s="2" t="s">
        <v>105</v>
      </c>
      <c r="B9" s="7">
        <f>2*B2/B3</f>
        <v>5.274920634920635</v>
      </c>
      <c r="C9" s="2" t="s">
        <v>4</v>
      </c>
    </row>
    <row r="10" spans="1:4">
      <c r="A10" s="2" t="s">
        <v>106</v>
      </c>
    </row>
    <row r="11" spans="1:4">
      <c r="A11" s="2" t="s">
        <v>107</v>
      </c>
      <c r="B11" s="7">
        <f>B5+2*(0.17+B6+0.04)</f>
        <v>1.3769223744292238</v>
      </c>
      <c r="C11" s="2" t="s">
        <v>4</v>
      </c>
      <c r="D11" s="2" t="s">
        <v>108</v>
      </c>
    </row>
    <row r="12" spans="1:4">
      <c r="A12" s="2" t="s">
        <v>109</v>
      </c>
    </row>
    <row r="13" spans="1:4">
      <c r="A13" s="2" t="s">
        <v>13</v>
      </c>
      <c r="B13" s="7">
        <f>(2*B4)/(3.14*B9+B11)*LN(3.14*B9/B11+1)</f>
        <v>0.57238949478638423</v>
      </c>
      <c r="C13" s="2" t="s">
        <v>110</v>
      </c>
      <c r="D13" s="2" t="s">
        <v>111</v>
      </c>
    </row>
    <row r="15" spans="1:4">
      <c r="A15" s="1" t="s">
        <v>9</v>
      </c>
    </row>
    <row r="16" spans="1:4">
      <c r="A16" s="46" t="s">
        <v>112</v>
      </c>
      <c r="B16" s="16" t="s">
        <v>113</v>
      </c>
      <c r="C16" s="16" t="s">
        <v>114</v>
      </c>
      <c r="D16" s="16" t="s">
        <v>19</v>
      </c>
    </row>
    <row r="17" spans="1:5">
      <c r="A17" s="3" t="s">
        <v>15</v>
      </c>
      <c r="B17" s="3"/>
      <c r="C17" s="3"/>
      <c r="D17" s="3">
        <v>0.17</v>
      </c>
    </row>
    <row r="18" spans="1:5">
      <c r="A18" s="3" t="s">
        <v>115</v>
      </c>
      <c r="B18" s="3">
        <v>1.2E-2</v>
      </c>
      <c r="C18" s="3">
        <v>1</v>
      </c>
      <c r="D18" s="3">
        <f>B18/C18</f>
        <v>1.2E-2</v>
      </c>
      <c r="E18" s="77" t="s">
        <v>116</v>
      </c>
    </row>
    <row r="19" spans="1:5">
      <c r="A19" s="3" t="s">
        <v>117</v>
      </c>
      <c r="B19" s="3">
        <v>0.04</v>
      </c>
      <c r="C19" s="3">
        <v>0.73</v>
      </c>
      <c r="D19" s="13">
        <f>B19/C19</f>
        <v>5.4794520547945209E-2</v>
      </c>
      <c r="E19" s="77"/>
    </row>
    <row r="20" spans="1:5">
      <c r="A20" s="3" t="s">
        <v>118</v>
      </c>
      <c r="B20" s="3">
        <v>0.2</v>
      </c>
      <c r="C20" s="3">
        <v>0.75</v>
      </c>
      <c r="D20" s="14">
        <f>B20/C20</f>
        <v>0.26666666666666666</v>
      </c>
      <c r="E20" s="77"/>
    </row>
    <row r="21" spans="1:5">
      <c r="D21" s="14">
        <f>SUM(D17:D20)</f>
        <v>0.50346118721461186</v>
      </c>
      <c r="E21" s="2" t="s">
        <v>14</v>
      </c>
    </row>
    <row r="22" spans="1:5">
      <c r="A22" s="2" t="s">
        <v>221</v>
      </c>
      <c r="D22" s="22">
        <f>D18+D19+D20</f>
        <v>0.33346118721461188</v>
      </c>
      <c r="E22" s="2" t="s">
        <v>14</v>
      </c>
    </row>
  </sheetData>
  <mergeCells count="1">
    <mergeCell ref="E18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9"/>
  <sheetViews>
    <sheetView topLeftCell="A40" zoomScale="130" zoomScaleNormal="130" workbookViewId="0">
      <selection activeCell="C7" sqref="C7"/>
    </sheetView>
  </sheetViews>
  <sheetFormatPr defaultRowHeight="14.5"/>
  <cols>
    <col min="1" max="1" width="29.0898437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6" ht="18.5">
      <c r="A1" s="17" t="s">
        <v>293</v>
      </c>
    </row>
    <row r="2" spans="1:6">
      <c r="A2" s="2" t="s">
        <v>47</v>
      </c>
      <c r="B2" s="2" t="s">
        <v>48</v>
      </c>
    </row>
    <row r="3" spans="1:6">
      <c r="A3" s="2" t="s">
        <v>187</v>
      </c>
      <c r="B3" s="2">
        <v>2340</v>
      </c>
      <c r="C3" s="2" t="s">
        <v>188</v>
      </c>
    </row>
    <row r="4" spans="1:6">
      <c r="A4" s="2" t="s">
        <v>189</v>
      </c>
      <c r="B4" s="2" t="s">
        <v>199</v>
      </c>
    </row>
    <row r="5" spans="1:6">
      <c r="A5" s="2" t="s">
        <v>49</v>
      </c>
      <c r="B5" s="2">
        <f>183-6*4-7</f>
        <v>152</v>
      </c>
      <c r="C5" s="2" t="s">
        <v>325</v>
      </c>
    </row>
    <row r="6" spans="1:6">
      <c r="A6" s="2" t="s">
        <v>50</v>
      </c>
      <c r="B6" s="2">
        <v>-7</v>
      </c>
      <c r="C6" s="2" t="s">
        <v>28</v>
      </c>
    </row>
    <row r="7" spans="1:6">
      <c r="A7" s="2" t="s">
        <v>51</v>
      </c>
      <c r="B7" s="2">
        <v>5.5</v>
      </c>
      <c r="C7" s="2" t="s">
        <v>28</v>
      </c>
    </row>
    <row r="8" spans="1:6">
      <c r="A8" s="2" t="s">
        <v>53</v>
      </c>
      <c r="B8" s="2">
        <v>5.5</v>
      </c>
      <c r="C8" s="2" t="s">
        <v>28</v>
      </c>
    </row>
    <row r="10" spans="1:6" ht="15" thickBot="1">
      <c r="A10" s="1" t="s">
        <v>294</v>
      </c>
    </row>
    <row r="11" spans="1:6">
      <c r="A11" s="64" t="s">
        <v>338</v>
      </c>
      <c r="B11" s="65"/>
      <c r="C11" s="65"/>
      <c r="D11" s="65"/>
      <c r="E11" s="65"/>
      <c r="F11" s="66"/>
    </row>
    <row r="12" spans="1:6">
      <c r="A12" s="67" t="s">
        <v>335</v>
      </c>
      <c r="B12" s="68"/>
      <c r="C12" s="68"/>
      <c r="D12" s="68"/>
      <c r="E12" s="68"/>
      <c r="F12" s="69"/>
    </row>
    <row r="13" spans="1:6">
      <c r="A13" s="67" t="s">
        <v>337</v>
      </c>
      <c r="B13" s="68"/>
      <c r="C13" s="68"/>
      <c r="D13" s="68"/>
      <c r="E13" s="68"/>
      <c r="F13" s="69"/>
    </row>
    <row r="14" spans="1:6">
      <c r="A14" s="67" t="s">
        <v>336</v>
      </c>
      <c r="B14" s="68"/>
      <c r="C14" s="68"/>
      <c r="D14" s="68"/>
      <c r="E14" s="68"/>
      <c r="F14" s="69"/>
    </row>
    <row r="15" spans="1:6" ht="15" thickBot="1">
      <c r="A15" s="70" t="s">
        <v>329</v>
      </c>
      <c r="B15" s="71"/>
      <c r="C15" s="71"/>
      <c r="D15" s="71"/>
      <c r="E15" s="71"/>
      <c r="F15" s="72"/>
    </row>
    <row r="16" spans="1:6" ht="11" customHeight="1">
      <c r="A16" s="27"/>
    </row>
    <row r="17" spans="1:18">
      <c r="A17" s="1" t="s">
        <v>54</v>
      </c>
    </row>
    <row r="18" spans="1:18">
      <c r="A18" s="1" t="s">
        <v>23</v>
      </c>
      <c r="D18" s="1" t="s">
        <v>192</v>
      </c>
      <c r="G18" s="1" t="s">
        <v>193</v>
      </c>
    </row>
    <row r="19" spans="1:18">
      <c r="A19" s="2" t="s">
        <v>5</v>
      </c>
      <c r="B19" s="11">
        <f>8-5.25</f>
        <v>2.75</v>
      </c>
      <c r="C19" s="2" t="s">
        <v>4</v>
      </c>
      <c r="D19" s="2" t="s">
        <v>67</v>
      </c>
      <c r="E19" s="2">
        <f>5.25+0.2+0.8</f>
        <v>6.25</v>
      </c>
      <c r="F19" s="2" t="s">
        <v>4</v>
      </c>
      <c r="G19" s="2" t="s">
        <v>67</v>
      </c>
      <c r="H19" s="2">
        <v>1.5</v>
      </c>
      <c r="I19" s="2" t="s">
        <v>1</v>
      </c>
      <c r="R19" s="12"/>
    </row>
    <row r="20" spans="1:18">
      <c r="A20" s="2" t="s">
        <v>6</v>
      </c>
      <c r="B20" s="11">
        <v>6</v>
      </c>
      <c r="C20" s="2" t="s">
        <v>4</v>
      </c>
      <c r="D20" s="2" t="s">
        <v>68</v>
      </c>
      <c r="E20" s="7">
        <f>E19*B22</f>
        <v>41.875</v>
      </c>
      <c r="F20" s="2" t="s">
        <v>1</v>
      </c>
      <c r="G20" s="2" t="s">
        <v>68</v>
      </c>
      <c r="H20" s="2">
        <f>H19*B22-H21</f>
        <v>4.2</v>
      </c>
      <c r="I20" s="2" t="s">
        <v>1</v>
      </c>
      <c r="R20" s="12"/>
    </row>
    <row r="21" spans="1:18">
      <c r="A21" s="2" t="s">
        <v>7</v>
      </c>
      <c r="B21" s="11">
        <f>(B19^2+B20^2)^0.5</f>
        <v>6.6001893912220426</v>
      </c>
      <c r="C21" s="2" t="s">
        <v>4</v>
      </c>
      <c r="D21" s="2" t="s">
        <v>69</v>
      </c>
      <c r="E21" s="2">
        <f>1.5*(B22-0.2)</f>
        <v>9.75</v>
      </c>
      <c r="F21" s="2" t="s">
        <v>1</v>
      </c>
      <c r="G21" s="2" t="s">
        <v>69</v>
      </c>
      <c r="H21" s="2">
        <f>0.9*(B22-0.2)</f>
        <v>5.8500000000000005</v>
      </c>
      <c r="I21" s="2" t="s">
        <v>1</v>
      </c>
      <c r="R21" s="12"/>
    </row>
    <row r="22" spans="1:18">
      <c r="A22" s="2" t="s">
        <v>8</v>
      </c>
      <c r="B22" s="11">
        <v>6.7</v>
      </c>
      <c r="C22" s="2" t="s">
        <v>4</v>
      </c>
      <c r="R22" s="12"/>
    </row>
    <row r="23" spans="1:18">
      <c r="A23" s="2" t="s">
        <v>0</v>
      </c>
      <c r="B23" s="11">
        <f>4*B21*B22</f>
        <v>176.88507568475075</v>
      </c>
      <c r="C23" s="2" t="s">
        <v>1</v>
      </c>
      <c r="D23" s="1" t="s">
        <v>2</v>
      </c>
      <c r="E23" s="11"/>
      <c r="G23" s="1" t="s">
        <v>9</v>
      </c>
      <c r="R23" s="12"/>
    </row>
    <row r="24" spans="1:18">
      <c r="D24" s="2" t="s">
        <v>138</v>
      </c>
      <c r="E24" s="11">
        <f>1.5*3*(B22-0.2)</f>
        <v>29.25</v>
      </c>
      <c r="F24" s="2" t="s">
        <v>1</v>
      </c>
      <c r="G24" s="2" t="s">
        <v>70</v>
      </c>
      <c r="H24" s="2">
        <f>6.7*24.8</f>
        <v>166.16</v>
      </c>
      <c r="I24" s="2" t="s">
        <v>1</v>
      </c>
      <c r="R24" s="12"/>
    </row>
    <row r="25" spans="1:18" ht="14.5" customHeight="1">
      <c r="G25" s="2" t="s">
        <v>227</v>
      </c>
      <c r="H25" s="2">
        <f>H24*5</f>
        <v>830.8</v>
      </c>
      <c r="I25" s="2" t="s">
        <v>228</v>
      </c>
    </row>
    <row r="26" spans="1:18">
      <c r="A26" s="1" t="s">
        <v>55</v>
      </c>
    </row>
    <row r="27" spans="1:18">
      <c r="A27" s="27" t="s">
        <v>222</v>
      </c>
    </row>
    <row r="28" spans="1:18">
      <c r="A28" s="16" t="s">
        <v>29</v>
      </c>
      <c r="B28" s="16" t="s">
        <v>3</v>
      </c>
      <c r="C28" s="16" t="s">
        <v>56</v>
      </c>
      <c r="D28" s="16" t="s">
        <v>13</v>
      </c>
      <c r="E28" s="16" t="s">
        <v>57</v>
      </c>
      <c r="F28" s="16" t="s">
        <v>30</v>
      </c>
      <c r="G28" s="16" t="s">
        <v>32</v>
      </c>
    </row>
    <row r="29" spans="1:18">
      <c r="A29" s="3" t="s">
        <v>31</v>
      </c>
      <c r="B29" s="3">
        <f>H24</f>
        <v>166.16</v>
      </c>
      <c r="C29" s="3">
        <f>20-10</f>
        <v>10</v>
      </c>
      <c r="D29" s="14">
        <f>Trasmittanze!B29</f>
        <v>0.57238949478638423</v>
      </c>
      <c r="E29" s="3">
        <v>1.25</v>
      </c>
      <c r="F29" s="3">
        <v>1</v>
      </c>
      <c r="G29" s="20">
        <f t="shared" ref="G29:G35" si="0">B29*C29*D29*E29*F29</f>
        <v>1188.85298067132</v>
      </c>
    </row>
    <row r="30" spans="1:18">
      <c r="A30" s="3" t="s">
        <v>194</v>
      </c>
      <c r="B30" s="14">
        <f>E20</f>
        <v>41.875</v>
      </c>
      <c r="C30" s="3">
        <f>20-$B$7</f>
        <v>14.5</v>
      </c>
      <c r="D30" s="14">
        <f>Trasmittanze!$F$10</f>
        <v>0.72649572649572647</v>
      </c>
      <c r="E30" s="3">
        <v>1.25</v>
      </c>
      <c r="F30" s="3">
        <v>1.2</v>
      </c>
      <c r="G30" s="20">
        <f t="shared" si="0"/>
        <v>661.67868589743591</v>
      </c>
    </row>
    <row r="31" spans="1:18">
      <c r="A31" s="3" t="s">
        <v>195</v>
      </c>
      <c r="B31" s="3">
        <v>5.36</v>
      </c>
      <c r="C31" s="3">
        <f t="shared" ref="C31:C35" si="1">20-$B$7</f>
        <v>14.5</v>
      </c>
      <c r="D31" s="14">
        <f>Trasmittanze!I26</f>
        <v>1.006711409395973</v>
      </c>
      <c r="E31" s="3">
        <v>1.25</v>
      </c>
      <c r="F31" s="3">
        <v>1.2</v>
      </c>
      <c r="G31" s="20">
        <f t="shared" si="0"/>
        <v>117.36241610738253</v>
      </c>
    </row>
    <row r="32" spans="1:18">
      <c r="A32" s="3" t="s">
        <v>196</v>
      </c>
      <c r="B32" s="3">
        <f>H20</f>
        <v>4.2</v>
      </c>
      <c r="C32" s="3">
        <f t="shared" si="1"/>
        <v>14.5</v>
      </c>
      <c r="D32" s="14">
        <f>Trasmittanze!$F$10</f>
        <v>0.72649572649572647</v>
      </c>
      <c r="E32" s="3">
        <v>1.25</v>
      </c>
      <c r="F32" s="3">
        <v>1</v>
      </c>
      <c r="G32" s="20">
        <f t="shared" si="0"/>
        <v>55.304487179487182</v>
      </c>
    </row>
    <row r="33" spans="1:8">
      <c r="A33" s="3" t="s">
        <v>197</v>
      </c>
      <c r="B33" s="3">
        <v>5.36</v>
      </c>
      <c r="C33" s="3">
        <f t="shared" si="1"/>
        <v>14.5</v>
      </c>
      <c r="D33" s="14">
        <f>Trasmittanze!I26</f>
        <v>1.006711409395973</v>
      </c>
      <c r="E33" s="3">
        <v>1.25</v>
      </c>
      <c r="F33" s="3">
        <v>1</v>
      </c>
      <c r="G33" s="20">
        <f t="shared" si="0"/>
        <v>97.802013422818774</v>
      </c>
    </row>
    <row r="34" spans="1:8">
      <c r="A34" s="3" t="s">
        <v>209</v>
      </c>
      <c r="B34" s="15">
        <f>H24</f>
        <v>166.16</v>
      </c>
      <c r="C34" s="3">
        <f t="shared" si="1"/>
        <v>14.5</v>
      </c>
      <c r="D34" s="14">
        <f>Trasmittanze!M22</f>
        <v>0.22282503390815731</v>
      </c>
      <c r="E34" s="3">
        <v>1.25</v>
      </c>
      <c r="F34" s="3">
        <v>1</v>
      </c>
      <c r="G34" s="20">
        <f t="shared" si="0"/>
        <v>671.071013369502</v>
      </c>
    </row>
    <row r="35" spans="1:8">
      <c r="A35" s="3" t="s">
        <v>340</v>
      </c>
      <c r="B35" s="15">
        <v>0</v>
      </c>
      <c r="C35" s="3">
        <f t="shared" si="1"/>
        <v>14.5</v>
      </c>
      <c r="D35" s="14">
        <f>Trasmittanze!I26</f>
        <v>1.006711409395973</v>
      </c>
      <c r="E35" s="3">
        <v>1.25</v>
      </c>
      <c r="F35" s="3">
        <v>1</v>
      </c>
      <c r="G35" s="20">
        <f t="shared" si="0"/>
        <v>0</v>
      </c>
    </row>
    <row r="36" spans="1:8">
      <c r="F36" s="2" t="s">
        <v>40</v>
      </c>
      <c r="G36" s="45">
        <f>-SUM(G29:G35)</f>
        <v>-2792.0715966479465</v>
      </c>
      <c r="H36" s="2" t="s">
        <v>39</v>
      </c>
    </row>
    <row r="37" spans="1:8">
      <c r="G37" s="29">
        <f>G36/1000</f>
        <v>-2.7920715966479466</v>
      </c>
      <c r="H37" s="2" t="s">
        <v>318</v>
      </c>
    </row>
    <row r="38" spans="1:8">
      <c r="A38" s="1" t="s">
        <v>172</v>
      </c>
    </row>
    <row r="39" spans="1:8">
      <c r="A39" s="2" t="s">
        <v>41</v>
      </c>
      <c r="B39" s="2">
        <v>24</v>
      </c>
      <c r="C39" s="23" t="s">
        <v>185</v>
      </c>
    </row>
    <row r="40" spans="1:8">
      <c r="A40" s="2" t="s">
        <v>190</v>
      </c>
      <c r="B40" s="31">
        <v>0.7</v>
      </c>
      <c r="C40" s="2" t="s">
        <v>191</v>
      </c>
    </row>
    <row r="41" spans="1:8">
      <c r="A41" s="2" t="s">
        <v>307</v>
      </c>
      <c r="B41" s="24">
        <f>32*18*B40</f>
        <v>403.2</v>
      </c>
      <c r="C41" s="2" t="s">
        <v>39</v>
      </c>
    </row>
    <row r="42" spans="1:8">
      <c r="A42" s="2" t="s">
        <v>303</v>
      </c>
      <c r="B42" s="2">
        <f>B41/1000*12*B5</f>
        <v>735.43679999999995</v>
      </c>
      <c r="C42" s="2" t="s">
        <v>78</v>
      </c>
    </row>
    <row r="43" spans="1:8">
      <c r="A43" s="2" t="s">
        <v>304</v>
      </c>
      <c r="B43" s="2">
        <v>0.22</v>
      </c>
      <c r="C43" s="2" t="s">
        <v>305</v>
      </c>
    </row>
    <row r="44" spans="1:8">
      <c r="A44" s="2" t="s">
        <v>302</v>
      </c>
      <c r="B44" s="25">
        <f>B42*B43</f>
        <v>161.79609599999998</v>
      </c>
      <c r="C44" s="2" t="s">
        <v>265</v>
      </c>
    </row>
    <row r="45" spans="1:8">
      <c r="A45" s="2" t="s">
        <v>308</v>
      </c>
      <c r="B45" s="25">
        <f>MAX.!B37-B44</f>
        <v>161.79609599999998</v>
      </c>
      <c r="C45" s="2" t="s">
        <v>309</v>
      </c>
    </row>
    <row r="46" spans="1:8">
      <c r="A46" s="2" t="s">
        <v>202</v>
      </c>
      <c r="B46" s="24">
        <f>250*B39*B40*0.5</f>
        <v>2100</v>
      </c>
      <c r="C46" s="2" t="s">
        <v>201</v>
      </c>
    </row>
    <row r="48" spans="1:8">
      <c r="A48" s="1" t="s">
        <v>60</v>
      </c>
    </row>
    <row r="49" spans="1:6">
      <c r="A49" s="2" t="s">
        <v>277</v>
      </c>
      <c r="B49" s="31">
        <v>0.7</v>
      </c>
      <c r="C49" s="2" t="s">
        <v>191</v>
      </c>
    </row>
    <row r="50" spans="1:6">
      <c r="A50" s="2" t="s">
        <v>169</v>
      </c>
      <c r="B50" s="24">
        <f>70*B39*B49</f>
        <v>1176</v>
      </c>
      <c r="C50" s="2" t="s">
        <v>42</v>
      </c>
    </row>
    <row r="51" spans="1:6">
      <c r="A51" s="2" t="s">
        <v>170</v>
      </c>
      <c r="B51" s="24">
        <f>B39*45*B49</f>
        <v>756</v>
      </c>
      <c r="C51" s="2" t="s">
        <v>43</v>
      </c>
    </row>
    <row r="53" spans="1:6">
      <c r="A53" s="1" t="s">
        <v>263</v>
      </c>
    </row>
    <row r="54" spans="1:6">
      <c r="A54" s="27" t="s">
        <v>276</v>
      </c>
    </row>
    <row r="55" spans="1:6">
      <c r="A55" s="19" t="s">
        <v>66</v>
      </c>
      <c r="B55" s="2">
        <f>B29*5.25</f>
        <v>872.34</v>
      </c>
      <c r="C55" s="2" t="s">
        <v>339</v>
      </c>
    </row>
    <row r="56" spans="1:6">
      <c r="A56" s="2" t="s">
        <v>61</v>
      </c>
      <c r="B56" s="2">
        <f>7</f>
        <v>7</v>
      </c>
      <c r="C56" s="2" t="s">
        <v>62</v>
      </c>
      <c r="F56"/>
    </row>
    <row r="57" spans="1:6">
      <c r="A57" s="2" t="s">
        <v>63</v>
      </c>
      <c r="B57" s="2">
        <f>B56*B39</f>
        <v>168</v>
      </c>
      <c r="C57" s="2" t="s">
        <v>62</v>
      </c>
      <c r="D57" s="2">
        <f>1.2*B57/1000</f>
        <v>0.2016</v>
      </c>
      <c r="E57" s="2" t="s">
        <v>64</v>
      </c>
    </row>
    <row r="58" spans="1:6">
      <c r="A58" s="2" t="s">
        <v>140</v>
      </c>
    </row>
    <row r="59" spans="1:6">
      <c r="A59" s="2" t="s">
        <v>82</v>
      </c>
      <c r="B59" s="7">
        <f>(D57/1.2*3600)/B55</f>
        <v>0.69330765527202698</v>
      </c>
      <c r="C59" s="2" t="s">
        <v>73</v>
      </c>
    </row>
    <row r="60" spans="1:6">
      <c r="A60" s="2" t="s">
        <v>74</v>
      </c>
      <c r="B60" s="45">
        <f>-D57*1006 * (20-$B$7)</f>
        <v>-2940.7392</v>
      </c>
      <c r="C60" s="2" t="s">
        <v>75</v>
      </c>
    </row>
    <row r="61" spans="1:6">
      <c r="A61" s="2" t="s">
        <v>264</v>
      </c>
      <c r="B61" s="2">
        <v>50</v>
      </c>
      <c r="C61" s="2" t="s">
        <v>265</v>
      </c>
    </row>
    <row r="63" spans="1:6">
      <c r="A63" s="1" t="s">
        <v>83</v>
      </c>
    </row>
    <row r="64" spans="1:6">
      <c r="A64" s="2" t="s">
        <v>129</v>
      </c>
      <c r="B64" s="25">
        <f>G36+B41+B46+B50+B60</f>
        <v>-2053.6107966479467</v>
      </c>
      <c r="C64" s="2" t="s">
        <v>75</v>
      </c>
    </row>
    <row r="65" spans="1:6">
      <c r="A65" s="2" t="s">
        <v>76</v>
      </c>
      <c r="B65" s="2">
        <f>B51</f>
        <v>756</v>
      </c>
      <c r="C65" s="2" t="s">
        <v>75</v>
      </c>
      <c r="D65" s="2" t="s">
        <v>203</v>
      </c>
      <c r="F65" s="7"/>
    </row>
    <row r="66" spans="1:6">
      <c r="A66" s="24" t="s">
        <v>120</v>
      </c>
      <c r="B66" s="45">
        <f>B64+B65</f>
        <v>-1297.6107966479467</v>
      </c>
      <c r="C66" s="24" t="s">
        <v>75</v>
      </c>
      <c r="D66" s="11" t="s">
        <v>269</v>
      </c>
      <c r="F66" s="7"/>
    </row>
    <row r="68" spans="1:6">
      <c r="A68" s="1" t="s">
        <v>177</v>
      </c>
    </row>
    <row r="69" spans="1:6">
      <c r="A69" s="2" t="s">
        <v>286</v>
      </c>
      <c r="B69" s="2">
        <v>13</v>
      </c>
      <c r="C69" s="2" t="s">
        <v>330</v>
      </c>
    </row>
    <row r="70" spans="1:6">
      <c r="A70" s="2" t="s">
        <v>266</v>
      </c>
      <c r="B70" s="25">
        <f>-(B66/1000)*B69*$B$5</f>
        <v>2564.0789341763425</v>
      </c>
      <c r="C70" s="2" t="s">
        <v>78</v>
      </c>
    </row>
    <row r="71" spans="1:6" ht="8" customHeight="1">
      <c r="B71" s="25"/>
    </row>
    <row r="72" spans="1:6" hidden="1">
      <c r="A72" s="2" t="s">
        <v>270</v>
      </c>
      <c r="B72" s="2">
        <v>0</v>
      </c>
      <c r="C72" s="2" t="s">
        <v>271</v>
      </c>
    </row>
    <row r="73" spans="1:6" hidden="1">
      <c r="A73" s="2" t="s">
        <v>267</v>
      </c>
      <c r="B73" s="25">
        <f>B139</f>
        <v>6178.4809999999989</v>
      </c>
      <c r="C73" s="2" t="s">
        <v>272</v>
      </c>
    </row>
    <row r="74" spans="1:6" hidden="1">
      <c r="A74" s="2" t="s">
        <v>285</v>
      </c>
      <c r="B74" s="25">
        <f>(B73/1000)*B72*$B$5</f>
        <v>0</v>
      </c>
      <c r="C74" s="2" t="s">
        <v>78</v>
      </c>
    </row>
    <row r="75" spans="1:6" ht="8.5" customHeight="1">
      <c r="B75" s="25"/>
    </row>
    <row r="80" spans="1:6">
      <c r="A80" s="21" t="s">
        <v>268</v>
      </c>
      <c r="B80" s="55">
        <f>B70+B74</f>
        <v>2564.0789341763425</v>
      </c>
      <c r="C80" s="21" t="s">
        <v>78</v>
      </c>
    </row>
    <row r="81" spans="1:5">
      <c r="A81" s="2" t="s">
        <v>223</v>
      </c>
      <c r="B81" s="2">
        <v>0.1</v>
      </c>
      <c r="C81" s="2" t="s">
        <v>79</v>
      </c>
    </row>
    <row r="82" spans="1:5">
      <c r="A82" s="21" t="s">
        <v>80</v>
      </c>
      <c r="B82" s="55">
        <f>B80*B81</f>
        <v>256.40789341763428</v>
      </c>
      <c r="C82" s="21" t="s">
        <v>81</v>
      </c>
    </row>
    <row r="84" spans="1:5">
      <c r="A84" s="21" t="s">
        <v>310</v>
      </c>
      <c r="B84" s="21">
        <f>MAX.!B65-B82</f>
        <v>3197.2462245782481</v>
      </c>
      <c r="C84" s="21" t="s">
        <v>81</v>
      </c>
    </row>
    <row r="85" spans="1:5">
      <c r="A85" s="21" t="s">
        <v>311</v>
      </c>
      <c r="B85" s="55">
        <f>B45</f>
        <v>161.79609599999998</v>
      </c>
      <c r="C85" s="21" t="s">
        <v>81</v>
      </c>
    </row>
    <row r="87" spans="1:5">
      <c r="A87" s="1" t="s">
        <v>141</v>
      </c>
    </row>
    <row r="88" spans="1:5">
      <c r="A88" s="2" t="s">
        <v>274</v>
      </c>
      <c r="B88" s="25">
        <f>50*H24</f>
        <v>8308</v>
      </c>
      <c r="C88" s="2" t="s">
        <v>145</v>
      </c>
    </row>
    <row r="89" spans="1:5">
      <c r="A89" s="2" t="s">
        <v>333</v>
      </c>
      <c r="B89" s="25">
        <f>300*B31*2</f>
        <v>3216</v>
      </c>
      <c r="C89" s="2" t="s">
        <v>334</v>
      </c>
    </row>
    <row r="90" spans="1:5">
      <c r="A90" s="2" t="s">
        <v>275</v>
      </c>
      <c r="B90" s="25">
        <v>800</v>
      </c>
      <c r="C90" s="2" t="s">
        <v>312</v>
      </c>
    </row>
    <row r="91" spans="1:5">
      <c r="A91" s="28" t="s">
        <v>144</v>
      </c>
      <c r="B91" s="25">
        <f>SUM(B88:B90)</f>
        <v>12324</v>
      </c>
      <c r="C91" s="2" t="s">
        <v>145</v>
      </c>
    </row>
    <row r="92" spans="1:5">
      <c r="A92" s="28"/>
      <c r="B92" s="25"/>
    </row>
    <row r="93" spans="1:5">
      <c r="A93" s="1" t="s">
        <v>287</v>
      </c>
    </row>
    <row r="94" spans="1:5">
      <c r="A94" s="21" t="s">
        <v>146</v>
      </c>
      <c r="B94" s="29">
        <f>B91/B84</f>
        <v>3.8545670662651799</v>
      </c>
      <c r="C94" s="24" t="s">
        <v>147</v>
      </c>
      <c r="D94" s="24"/>
      <c r="E94" s="24"/>
    </row>
    <row r="95" spans="1:5">
      <c r="A95" s="30" t="s">
        <v>148</v>
      </c>
      <c r="B95" s="51" t="s">
        <v>153</v>
      </c>
      <c r="C95" s="16" t="s">
        <v>151</v>
      </c>
      <c r="D95" s="16" t="s">
        <v>152</v>
      </c>
      <c r="E95" s="16" t="s">
        <v>149</v>
      </c>
    </row>
    <row r="96" spans="1:5">
      <c r="A96" s="52">
        <v>0</v>
      </c>
      <c r="B96" s="10">
        <f>-$B$91</f>
        <v>-12324</v>
      </c>
      <c r="C96" s="3"/>
      <c r="D96" s="20"/>
      <c r="E96" s="20">
        <f>B96</f>
        <v>-12324</v>
      </c>
    </row>
    <row r="97" spans="1:8">
      <c r="A97" s="52">
        <v>1</v>
      </c>
      <c r="B97" s="50">
        <f>-$B$61</f>
        <v>-50</v>
      </c>
      <c r="C97" s="20">
        <f>-MAX.!$B$65-MAX.!$B$37</f>
        <v>-3777.2463099958823</v>
      </c>
      <c r="D97" s="20">
        <f t="shared" ref="D97:D116" si="2">-$B$82-$B$44</f>
        <v>-418.20398941763426</v>
      </c>
      <c r="E97" s="20">
        <f>D97-C97+B97</f>
        <v>3309.0423205782481</v>
      </c>
      <c r="F97" s="27"/>
      <c r="G97" s="27"/>
      <c r="H97" s="27"/>
    </row>
    <row r="98" spans="1:8">
      <c r="A98" s="52">
        <f>A97+1</f>
        <v>2</v>
      </c>
      <c r="B98" s="50">
        <f t="shared" ref="B98:B117" si="3">-$B$61</f>
        <v>-50</v>
      </c>
      <c r="C98" s="20">
        <f>-MAX.!$B$65-MAX.!$B$37</f>
        <v>-3777.2463099958823</v>
      </c>
      <c r="D98" s="20">
        <f t="shared" si="2"/>
        <v>-418.20398941763426</v>
      </c>
      <c r="E98" s="20">
        <f t="shared" ref="E98:E116" si="4">D98-C98+B98</f>
        <v>3309.0423205782481</v>
      </c>
      <c r="F98" s="27"/>
    </row>
    <row r="99" spans="1:8">
      <c r="A99" s="52">
        <f t="shared" ref="A99:A116" si="5">A98+1</f>
        <v>3</v>
      </c>
      <c r="B99" s="50">
        <f t="shared" si="3"/>
        <v>-50</v>
      </c>
      <c r="C99" s="20">
        <f>-MAX.!$B$65-MAX.!$B$37</f>
        <v>-3777.2463099958823</v>
      </c>
      <c r="D99" s="20">
        <f t="shared" si="2"/>
        <v>-418.20398941763426</v>
      </c>
      <c r="E99" s="20">
        <f t="shared" si="4"/>
        <v>3309.0423205782481</v>
      </c>
    </row>
    <row r="100" spans="1:8">
      <c r="A100" s="52">
        <f t="shared" si="5"/>
        <v>4</v>
      </c>
      <c r="B100" s="50">
        <f t="shared" si="3"/>
        <v>-50</v>
      </c>
      <c r="C100" s="20">
        <f>-MAX.!$B$65-MAX.!$B$37</f>
        <v>-3777.2463099958823</v>
      </c>
      <c r="D100" s="20">
        <f t="shared" si="2"/>
        <v>-418.20398941763426</v>
      </c>
      <c r="E100" s="20">
        <f t="shared" si="4"/>
        <v>3309.0423205782481</v>
      </c>
    </row>
    <row r="101" spans="1:8">
      <c r="A101" s="52">
        <f t="shared" si="5"/>
        <v>5</v>
      </c>
      <c r="B101" s="50">
        <f t="shared" si="3"/>
        <v>-50</v>
      </c>
      <c r="C101" s="20">
        <f>-MAX.!$B$65-MAX.!$B$37</f>
        <v>-3777.2463099958823</v>
      </c>
      <c r="D101" s="20">
        <f t="shared" si="2"/>
        <v>-418.20398941763426</v>
      </c>
      <c r="E101" s="20">
        <f t="shared" si="4"/>
        <v>3309.0423205782481</v>
      </c>
    </row>
    <row r="102" spans="1:8">
      <c r="A102" s="52">
        <f t="shared" si="5"/>
        <v>6</v>
      </c>
      <c r="B102" s="50">
        <f t="shared" si="3"/>
        <v>-50</v>
      </c>
      <c r="C102" s="20">
        <f>-MAX.!$B$65-MAX.!$B$37</f>
        <v>-3777.2463099958823</v>
      </c>
      <c r="D102" s="20">
        <f t="shared" si="2"/>
        <v>-418.20398941763426</v>
      </c>
      <c r="E102" s="20">
        <f t="shared" si="4"/>
        <v>3309.0423205782481</v>
      </c>
    </row>
    <row r="103" spans="1:8">
      <c r="A103" s="52">
        <f t="shared" si="5"/>
        <v>7</v>
      </c>
      <c r="B103" s="50">
        <f t="shared" si="3"/>
        <v>-50</v>
      </c>
      <c r="C103" s="20">
        <f>-MAX.!$B$65-MAX.!$B$37</f>
        <v>-3777.2463099958823</v>
      </c>
      <c r="D103" s="20">
        <f t="shared" si="2"/>
        <v>-418.20398941763426</v>
      </c>
      <c r="E103" s="20">
        <f t="shared" si="4"/>
        <v>3309.0423205782481</v>
      </c>
    </row>
    <row r="104" spans="1:8">
      <c r="A104" s="52">
        <f t="shared" si="5"/>
        <v>8</v>
      </c>
      <c r="B104" s="50">
        <f t="shared" si="3"/>
        <v>-50</v>
      </c>
      <c r="C104" s="20">
        <f>-MAX.!$B$65-MAX.!$B$37</f>
        <v>-3777.2463099958823</v>
      </c>
      <c r="D104" s="20">
        <f t="shared" si="2"/>
        <v>-418.20398941763426</v>
      </c>
      <c r="E104" s="20">
        <f t="shared" si="4"/>
        <v>3309.0423205782481</v>
      </c>
    </row>
    <row r="105" spans="1:8">
      <c r="A105" s="52">
        <f t="shared" si="5"/>
        <v>9</v>
      </c>
      <c r="B105" s="50">
        <f t="shared" si="3"/>
        <v>-50</v>
      </c>
      <c r="C105" s="20">
        <f>-MAX.!$B$65-MAX.!$B$37</f>
        <v>-3777.2463099958823</v>
      </c>
      <c r="D105" s="20">
        <f t="shared" si="2"/>
        <v>-418.20398941763426</v>
      </c>
      <c r="E105" s="20">
        <f t="shared" si="4"/>
        <v>3309.0423205782481</v>
      </c>
    </row>
    <row r="106" spans="1:8">
      <c r="A106" s="52">
        <f t="shared" si="5"/>
        <v>10</v>
      </c>
      <c r="B106" s="50">
        <f t="shared" si="3"/>
        <v>-50</v>
      </c>
      <c r="C106" s="20">
        <f>-MAX.!$B$65-MAX.!$B$37</f>
        <v>-3777.2463099958823</v>
      </c>
      <c r="D106" s="20">
        <f t="shared" si="2"/>
        <v>-418.20398941763426</v>
      </c>
      <c r="E106" s="20">
        <f t="shared" si="4"/>
        <v>3309.0423205782481</v>
      </c>
    </row>
    <row r="107" spans="1:8">
      <c r="A107" s="52">
        <f t="shared" si="5"/>
        <v>11</v>
      </c>
      <c r="B107" s="50">
        <f t="shared" si="3"/>
        <v>-50</v>
      </c>
      <c r="C107" s="20">
        <f>-MAX.!$B$65-MAX.!$B$37</f>
        <v>-3777.2463099958823</v>
      </c>
      <c r="D107" s="20">
        <f t="shared" si="2"/>
        <v>-418.20398941763426</v>
      </c>
      <c r="E107" s="20">
        <f t="shared" si="4"/>
        <v>3309.0423205782481</v>
      </c>
    </row>
    <row r="108" spans="1:8">
      <c r="A108" s="52">
        <f t="shared" si="5"/>
        <v>12</v>
      </c>
      <c r="B108" s="50">
        <f t="shared" si="3"/>
        <v>-50</v>
      </c>
      <c r="C108" s="20">
        <f>-MAX.!$B$65-MAX.!$B$37</f>
        <v>-3777.2463099958823</v>
      </c>
      <c r="D108" s="20">
        <f t="shared" si="2"/>
        <v>-418.20398941763426</v>
      </c>
      <c r="E108" s="20">
        <f t="shared" si="4"/>
        <v>3309.0423205782481</v>
      </c>
    </row>
    <row r="109" spans="1:8">
      <c r="A109" s="52">
        <f t="shared" si="5"/>
        <v>13</v>
      </c>
      <c r="B109" s="50">
        <f t="shared" si="3"/>
        <v>-50</v>
      </c>
      <c r="C109" s="20">
        <f>-MAX.!$B$65-MAX.!$B$37</f>
        <v>-3777.2463099958823</v>
      </c>
      <c r="D109" s="20">
        <f t="shared" si="2"/>
        <v>-418.20398941763426</v>
      </c>
      <c r="E109" s="20">
        <f t="shared" si="4"/>
        <v>3309.0423205782481</v>
      </c>
    </row>
    <row r="110" spans="1:8">
      <c r="A110" s="52">
        <f t="shared" si="5"/>
        <v>14</v>
      </c>
      <c r="B110" s="50">
        <f t="shared" si="3"/>
        <v>-50</v>
      </c>
      <c r="C110" s="20">
        <f>-MAX.!$B$65-MAX.!$B$37</f>
        <v>-3777.2463099958823</v>
      </c>
      <c r="D110" s="20">
        <f t="shared" si="2"/>
        <v>-418.20398941763426</v>
      </c>
      <c r="E110" s="20">
        <f t="shared" si="4"/>
        <v>3309.0423205782481</v>
      </c>
    </row>
    <row r="111" spans="1:8">
      <c r="A111" s="52">
        <f t="shared" si="5"/>
        <v>15</v>
      </c>
      <c r="B111" s="50">
        <f t="shared" si="3"/>
        <v>-50</v>
      </c>
      <c r="C111" s="20">
        <f>-MAX.!$B$65-MAX.!$B$37</f>
        <v>-3777.2463099958823</v>
      </c>
      <c r="D111" s="20">
        <f t="shared" si="2"/>
        <v>-418.20398941763426</v>
      </c>
      <c r="E111" s="20">
        <f t="shared" si="4"/>
        <v>3309.0423205782481</v>
      </c>
    </row>
    <row r="112" spans="1:8">
      <c r="A112" s="52">
        <f t="shared" si="5"/>
        <v>16</v>
      </c>
      <c r="B112" s="50">
        <f t="shared" si="3"/>
        <v>-50</v>
      </c>
      <c r="C112" s="20">
        <f>-MAX.!$B$65-MAX.!$B$37</f>
        <v>-3777.2463099958823</v>
      </c>
      <c r="D112" s="20">
        <f t="shared" si="2"/>
        <v>-418.20398941763426</v>
      </c>
      <c r="E112" s="20">
        <f t="shared" si="4"/>
        <v>3309.0423205782481</v>
      </c>
    </row>
    <row r="113" spans="1:7">
      <c r="A113" s="52">
        <f t="shared" si="5"/>
        <v>17</v>
      </c>
      <c r="B113" s="50">
        <f t="shared" si="3"/>
        <v>-50</v>
      </c>
      <c r="C113" s="20">
        <f>-MAX.!$B$65-MAX.!$B$37</f>
        <v>-3777.2463099958823</v>
      </c>
      <c r="D113" s="20">
        <f t="shared" si="2"/>
        <v>-418.20398941763426</v>
      </c>
      <c r="E113" s="20">
        <f t="shared" si="4"/>
        <v>3309.0423205782481</v>
      </c>
    </row>
    <row r="114" spans="1:7">
      <c r="A114" s="52">
        <f t="shared" si="5"/>
        <v>18</v>
      </c>
      <c r="B114" s="50">
        <f t="shared" si="3"/>
        <v>-50</v>
      </c>
      <c r="C114" s="20">
        <f>-MAX.!$B$65-MAX.!$B$37</f>
        <v>-3777.2463099958823</v>
      </c>
      <c r="D114" s="20">
        <f t="shared" si="2"/>
        <v>-418.20398941763426</v>
      </c>
      <c r="E114" s="20">
        <f t="shared" si="4"/>
        <v>3309.0423205782481</v>
      </c>
    </row>
    <row r="115" spans="1:7">
      <c r="A115" s="52">
        <f t="shared" si="5"/>
        <v>19</v>
      </c>
      <c r="B115" s="50">
        <f t="shared" si="3"/>
        <v>-50</v>
      </c>
      <c r="C115" s="20">
        <f>-MAX.!$B$65-MAX.!$B$37</f>
        <v>-3777.2463099958823</v>
      </c>
      <c r="D115" s="20">
        <f t="shared" si="2"/>
        <v>-418.20398941763426</v>
      </c>
      <c r="E115" s="20">
        <f t="shared" si="4"/>
        <v>3309.0423205782481</v>
      </c>
    </row>
    <row r="116" spans="1:7">
      <c r="A116" s="52">
        <f t="shared" si="5"/>
        <v>20</v>
      </c>
      <c r="B116" s="50">
        <f t="shared" si="3"/>
        <v>-50</v>
      </c>
      <c r="C116" s="20">
        <f>-MAX.!$B$65-MAX.!$B$37</f>
        <v>-3777.2463099958823</v>
      </c>
      <c r="D116" s="20">
        <f t="shared" si="2"/>
        <v>-418.20398941763426</v>
      </c>
      <c r="E116" s="20">
        <f t="shared" si="4"/>
        <v>3309.0423205782481</v>
      </c>
    </row>
    <row r="117" spans="1:7" ht="15" thickBot="1">
      <c r="A117" s="52"/>
      <c r="B117" s="57">
        <f t="shared" si="3"/>
        <v>-50</v>
      </c>
      <c r="C117" s="58">
        <f>SUM(C97:C116)</f>
        <v>-75544.926199917667</v>
      </c>
      <c r="D117" s="58">
        <f>SUM(D96:D116)</f>
        <v>-8364.0797883526848</v>
      </c>
      <c r="E117" s="58">
        <f>SUM(E96:E116)</f>
        <v>53856.846411564984</v>
      </c>
    </row>
    <row r="118" spans="1:7" ht="15" thickBot="1">
      <c r="A118" s="59" t="s">
        <v>224</v>
      </c>
      <c r="B118" s="60">
        <f>E117</f>
        <v>53856.846411564984</v>
      </c>
      <c r="C118" s="61" t="s">
        <v>145</v>
      </c>
      <c r="D118" s="61"/>
      <c r="E118" s="62"/>
    </row>
    <row r="119" spans="1:7">
      <c r="B119" s="25"/>
    </row>
    <row r="120" spans="1:7">
      <c r="A120" s="1" t="s">
        <v>161</v>
      </c>
      <c r="B120" s="25"/>
    </row>
    <row r="121" spans="1:7">
      <c r="A121" s="2" t="s">
        <v>156</v>
      </c>
      <c r="B121" s="25">
        <f>-B80+MAX.!B63</f>
        <v>31972.462245782477</v>
      </c>
      <c r="C121" s="2" t="s">
        <v>78</v>
      </c>
    </row>
    <row r="122" spans="1:7">
      <c r="A122" s="18" t="s">
        <v>184</v>
      </c>
      <c r="B122" s="18">
        <v>11630</v>
      </c>
      <c r="C122" s="2" t="s">
        <v>78</v>
      </c>
    </row>
    <row r="123" spans="1:7">
      <c r="A123" s="2" t="s">
        <v>225</v>
      </c>
      <c r="B123" s="11">
        <f>B121/B122</f>
        <v>2.7491369084937642</v>
      </c>
      <c r="C123" s="11">
        <f>B123/0.82*1000</f>
        <v>3352.6059859680054</v>
      </c>
      <c r="D123" s="2" t="s">
        <v>155</v>
      </c>
      <c r="G123"/>
    </row>
    <row r="124" spans="1:7">
      <c r="B124" s="11"/>
      <c r="C124" s="11"/>
    </row>
    <row r="125" spans="1:7">
      <c r="A125" s="18" t="s">
        <v>159</v>
      </c>
      <c r="B125" s="18">
        <v>0.255</v>
      </c>
      <c r="C125" s="2" t="s">
        <v>157</v>
      </c>
    </row>
    <row r="126" spans="1:7">
      <c r="A126" s="2" t="s">
        <v>226</v>
      </c>
      <c r="B126" s="7">
        <f>B125*B121/1000</f>
        <v>8.1529778726745317</v>
      </c>
      <c r="C126" s="2" t="s">
        <v>160</v>
      </c>
    </row>
    <row r="129" spans="1:5">
      <c r="A129" s="1" t="s">
        <v>288</v>
      </c>
    </row>
    <row r="130" spans="1:5">
      <c r="A130" s="2" t="s">
        <v>289</v>
      </c>
      <c r="B130" s="2">
        <f>H25</f>
        <v>830.8</v>
      </c>
      <c r="C130" s="2" t="s">
        <v>228</v>
      </c>
    </row>
    <row r="131" spans="1:5">
      <c r="A131" s="2" t="s">
        <v>237</v>
      </c>
      <c r="B131" s="2">
        <v>17</v>
      </c>
      <c r="C131" s="27" t="s">
        <v>273</v>
      </c>
    </row>
    <row r="132" spans="1:5">
      <c r="A132" s="2" t="s">
        <v>254</v>
      </c>
      <c r="B132" s="2">
        <v>20</v>
      </c>
      <c r="C132" s="2" t="s">
        <v>28</v>
      </c>
    </row>
    <row r="133" spans="1:5">
      <c r="A133" s="2" t="s">
        <v>290</v>
      </c>
      <c r="B133" s="2">
        <f>3600</f>
        <v>3600</v>
      </c>
      <c r="C133" s="2" t="s">
        <v>229</v>
      </c>
    </row>
    <row r="134" spans="1:5">
      <c r="A134" s="2" t="s">
        <v>235</v>
      </c>
      <c r="B134" s="12">
        <f>1.2*B130/B133</f>
        <v>0.27693333333333331</v>
      </c>
      <c r="C134" s="2" t="s">
        <v>64</v>
      </c>
      <c r="D134" s="2">
        <f>B134/1.2*3600</f>
        <v>830.8</v>
      </c>
      <c r="E134" s="2" t="s">
        <v>65</v>
      </c>
    </row>
    <row r="135" spans="1:5">
      <c r="A135" s="2" t="s">
        <v>242</v>
      </c>
      <c r="B135" s="25">
        <f>1006*B134*(B132-B131)</f>
        <v>835.7847999999999</v>
      </c>
      <c r="C135" s="2" t="s">
        <v>240</v>
      </c>
    </row>
    <row r="136" spans="1:5">
      <c r="A136" s="2" t="s">
        <v>291</v>
      </c>
      <c r="B136" s="25">
        <v>4107</v>
      </c>
      <c r="C136" s="27" t="s">
        <v>250</v>
      </c>
    </row>
    <row r="137" spans="1:5">
      <c r="A137" s="24" t="s">
        <v>258</v>
      </c>
      <c r="B137" s="45">
        <f>B136+B135</f>
        <v>4942.7847999999994</v>
      </c>
      <c r="C137" s="24" t="s">
        <v>39</v>
      </c>
    </row>
    <row r="138" spans="1:5">
      <c r="A138" s="2" t="s">
        <v>253</v>
      </c>
      <c r="B138" s="7">
        <v>0.8</v>
      </c>
    </row>
    <row r="139" spans="1:5">
      <c r="A139" s="24" t="s">
        <v>292</v>
      </c>
      <c r="B139" s="45">
        <f>(B135+B136)/B138</f>
        <v>6178.4809999999989</v>
      </c>
      <c r="C139" s="63" t="s">
        <v>244</v>
      </c>
    </row>
  </sheetData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39"/>
  <sheetViews>
    <sheetView topLeftCell="A99" zoomScale="130" zoomScaleNormal="130" workbookViewId="0">
      <selection activeCell="B118" sqref="B118"/>
    </sheetView>
  </sheetViews>
  <sheetFormatPr defaultRowHeight="14.5"/>
  <cols>
    <col min="1" max="1" width="29.0898437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6" ht="18.5">
      <c r="A1" s="17" t="s">
        <v>293</v>
      </c>
    </row>
    <row r="2" spans="1:6">
      <c r="A2" s="2" t="s">
        <v>47</v>
      </c>
      <c r="B2" s="2" t="s">
        <v>48</v>
      </c>
    </row>
    <row r="3" spans="1:6">
      <c r="A3" s="2" t="s">
        <v>187</v>
      </c>
      <c r="B3" s="2">
        <v>2340</v>
      </c>
      <c r="C3" s="2" t="s">
        <v>188</v>
      </c>
    </row>
    <row r="4" spans="1:6">
      <c r="A4" s="2" t="s">
        <v>189</v>
      </c>
      <c r="B4" s="2" t="s">
        <v>199</v>
      </c>
    </row>
    <row r="5" spans="1:6">
      <c r="A5" s="2" t="s">
        <v>49</v>
      </c>
      <c r="B5" s="2">
        <f>183-6*4-7</f>
        <v>152</v>
      </c>
      <c r="C5" s="2" t="s">
        <v>325</v>
      </c>
    </row>
    <row r="6" spans="1:6">
      <c r="A6" s="2" t="s">
        <v>50</v>
      </c>
      <c r="B6" s="2">
        <v>-7</v>
      </c>
      <c r="C6" s="2" t="s">
        <v>28</v>
      </c>
    </row>
    <row r="7" spans="1:6">
      <c r="A7" s="2" t="s">
        <v>51</v>
      </c>
      <c r="B7" s="2">
        <v>5.5</v>
      </c>
      <c r="C7" s="2" t="s">
        <v>28</v>
      </c>
    </row>
    <row r="8" spans="1:6">
      <c r="A8" s="2" t="s">
        <v>53</v>
      </c>
      <c r="B8" s="2">
        <v>5.5</v>
      </c>
      <c r="C8" s="2" t="s">
        <v>28</v>
      </c>
    </row>
    <row r="10" spans="1:6" ht="15" thickBot="1">
      <c r="A10" s="1" t="s">
        <v>294</v>
      </c>
    </row>
    <row r="11" spans="1:6">
      <c r="A11" s="64" t="s">
        <v>338</v>
      </c>
      <c r="B11" s="65"/>
      <c r="C11" s="65"/>
      <c r="D11" s="65"/>
      <c r="E11" s="65"/>
      <c r="F11" s="66"/>
    </row>
    <row r="12" spans="1:6">
      <c r="A12" s="67" t="s">
        <v>335</v>
      </c>
      <c r="B12" s="68"/>
      <c r="C12" s="68"/>
      <c r="D12" s="68"/>
      <c r="E12" s="68"/>
      <c r="F12" s="69"/>
    </row>
    <row r="13" spans="1:6">
      <c r="A13" s="67" t="s">
        <v>337</v>
      </c>
      <c r="B13" s="68"/>
      <c r="C13" s="68"/>
      <c r="D13" s="68"/>
      <c r="E13" s="68"/>
      <c r="F13" s="69"/>
    </row>
    <row r="14" spans="1:6">
      <c r="A14" s="67" t="s">
        <v>336</v>
      </c>
      <c r="B14" s="68"/>
      <c r="C14" s="68"/>
      <c r="D14" s="68"/>
      <c r="E14" s="68"/>
      <c r="F14" s="69"/>
    </row>
    <row r="15" spans="1:6" ht="15" thickBot="1">
      <c r="A15" s="70" t="s">
        <v>329</v>
      </c>
      <c r="B15" s="71"/>
      <c r="C15" s="71"/>
      <c r="D15" s="71"/>
      <c r="E15" s="71"/>
      <c r="F15" s="72"/>
    </row>
    <row r="16" spans="1:6" ht="11" customHeight="1">
      <c r="A16" s="27"/>
    </row>
    <row r="17" spans="1:18">
      <c r="A17" s="1" t="s">
        <v>54</v>
      </c>
    </row>
    <row r="18" spans="1:18">
      <c r="A18" s="1" t="s">
        <v>23</v>
      </c>
      <c r="D18" s="1" t="s">
        <v>192</v>
      </c>
      <c r="G18" s="1" t="s">
        <v>193</v>
      </c>
    </row>
    <row r="19" spans="1:18">
      <c r="A19" s="2" t="s">
        <v>5</v>
      </c>
      <c r="B19" s="11">
        <f>8-5.25</f>
        <v>2.75</v>
      </c>
      <c r="C19" s="2" t="s">
        <v>4</v>
      </c>
      <c r="D19" s="2" t="s">
        <v>67</v>
      </c>
      <c r="E19" s="2">
        <f>5.25+0.2+0.8</f>
        <v>6.25</v>
      </c>
      <c r="F19" s="2" t="s">
        <v>4</v>
      </c>
      <c r="G19" s="2" t="s">
        <v>67</v>
      </c>
      <c r="H19" s="2">
        <v>1.5</v>
      </c>
      <c r="I19" s="2" t="s">
        <v>1</v>
      </c>
      <c r="R19" s="12"/>
    </row>
    <row r="20" spans="1:18">
      <c r="A20" s="2" t="s">
        <v>6</v>
      </c>
      <c r="B20" s="11">
        <v>6</v>
      </c>
      <c r="C20" s="2" t="s">
        <v>4</v>
      </c>
      <c r="D20" s="2" t="s">
        <v>68</v>
      </c>
      <c r="E20" s="7">
        <f>E19*B22</f>
        <v>41.875</v>
      </c>
      <c r="F20" s="2" t="s">
        <v>1</v>
      </c>
      <c r="G20" s="2" t="s">
        <v>68</v>
      </c>
      <c r="H20" s="2">
        <f>H19*B22-H21</f>
        <v>4.2</v>
      </c>
      <c r="I20" s="2" t="s">
        <v>1</v>
      </c>
      <c r="R20" s="12"/>
    </row>
    <row r="21" spans="1:18">
      <c r="A21" s="2" t="s">
        <v>7</v>
      </c>
      <c r="B21" s="11">
        <f>(B19^2+B20^2)^0.5</f>
        <v>6.6001893912220426</v>
      </c>
      <c r="C21" s="2" t="s">
        <v>4</v>
      </c>
      <c r="D21" s="2" t="s">
        <v>69</v>
      </c>
      <c r="E21" s="2">
        <f>1.5*(B22-0.2)</f>
        <v>9.75</v>
      </c>
      <c r="F21" s="2" t="s">
        <v>1</v>
      </c>
      <c r="G21" s="2" t="s">
        <v>69</v>
      </c>
      <c r="H21" s="2">
        <f>0.9*(B22-0.2)</f>
        <v>5.8500000000000005</v>
      </c>
      <c r="I21" s="2" t="s">
        <v>1</v>
      </c>
      <c r="R21" s="12"/>
    </row>
    <row r="22" spans="1:18">
      <c r="A22" s="2" t="s">
        <v>8</v>
      </c>
      <c r="B22" s="11">
        <v>6.7</v>
      </c>
      <c r="C22" s="2" t="s">
        <v>4</v>
      </c>
      <c r="R22" s="12"/>
    </row>
    <row r="23" spans="1:18">
      <c r="A23" s="2" t="s">
        <v>0</v>
      </c>
      <c r="B23" s="11">
        <f>4*B21*B22</f>
        <v>176.88507568475075</v>
      </c>
      <c r="C23" s="2" t="s">
        <v>1</v>
      </c>
      <c r="D23" s="1" t="s">
        <v>2</v>
      </c>
      <c r="E23" s="11"/>
      <c r="G23" s="1" t="s">
        <v>9</v>
      </c>
      <c r="R23" s="12"/>
    </row>
    <row r="24" spans="1:18">
      <c r="D24" s="2" t="s">
        <v>138</v>
      </c>
      <c r="E24" s="11">
        <f>1.5*3*(B22-0.2)</f>
        <v>29.25</v>
      </c>
      <c r="F24" s="2" t="s">
        <v>1</v>
      </c>
      <c r="G24" s="2" t="s">
        <v>70</v>
      </c>
      <c r="H24" s="2">
        <f>6.7*24.8</f>
        <v>166.16</v>
      </c>
      <c r="I24" s="2" t="s">
        <v>1</v>
      </c>
      <c r="R24" s="12"/>
    </row>
    <row r="25" spans="1:18" ht="14.5" customHeight="1">
      <c r="G25" s="2" t="s">
        <v>227</v>
      </c>
      <c r="H25" s="2">
        <f>H24*5</f>
        <v>830.8</v>
      </c>
      <c r="I25" s="2" t="s">
        <v>228</v>
      </c>
    </row>
    <row r="26" spans="1:18">
      <c r="A26" s="1" t="s">
        <v>55</v>
      </c>
    </row>
    <row r="27" spans="1:18">
      <c r="A27" s="27" t="s">
        <v>222</v>
      </c>
    </row>
    <row r="28" spans="1:18">
      <c r="A28" s="16" t="s">
        <v>29</v>
      </c>
      <c r="B28" s="16" t="s">
        <v>3</v>
      </c>
      <c r="C28" s="16" t="s">
        <v>56</v>
      </c>
      <c r="D28" s="16" t="s">
        <v>13</v>
      </c>
      <c r="E28" s="16" t="s">
        <v>57</v>
      </c>
      <c r="F28" s="16" t="s">
        <v>30</v>
      </c>
      <c r="G28" s="16" t="s">
        <v>32</v>
      </c>
    </row>
    <row r="29" spans="1:18">
      <c r="A29" s="3" t="s">
        <v>31</v>
      </c>
      <c r="B29" s="3">
        <f>H24</f>
        <v>166.16</v>
      </c>
      <c r="C29" s="3">
        <f>20-10</f>
        <v>10</v>
      </c>
      <c r="D29" s="14">
        <f>Trasmittanze!B29</f>
        <v>0.57238949478638423</v>
      </c>
      <c r="E29" s="3">
        <v>1.25</v>
      </c>
      <c r="F29" s="3">
        <v>1</v>
      </c>
      <c r="G29" s="20">
        <f t="shared" ref="G29:G35" si="0">B29*C29*D29*E29*F29</f>
        <v>1188.85298067132</v>
      </c>
    </row>
    <row r="30" spans="1:18">
      <c r="A30" s="3" t="s">
        <v>194</v>
      </c>
      <c r="B30" s="14">
        <f>E20</f>
        <v>41.875</v>
      </c>
      <c r="C30" s="3">
        <f>20-$B$7</f>
        <v>14.5</v>
      </c>
      <c r="D30" s="14">
        <f>Trasmittanze!$F$10</f>
        <v>0.72649572649572647</v>
      </c>
      <c r="E30" s="3">
        <v>1.25</v>
      </c>
      <c r="F30" s="3">
        <v>1.2</v>
      </c>
      <c r="G30" s="20">
        <f t="shared" si="0"/>
        <v>661.67868589743591</v>
      </c>
    </row>
    <row r="31" spans="1:18">
      <c r="A31" s="3" t="s">
        <v>195</v>
      </c>
      <c r="B31" s="3">
        <v>5.36</v>
      </c>
      <c r="C31" s="3">
        <f t="shared" ref="C31:C35" si="1">20-$B$7</f>
        <v>14.5</v>
      </c>
      <c r="D31" s="14">
        <f>Trasmittanze!I26</f>
        <v>1.006711409395973</v>
      </c>
      <c r="E31" s="3">
        <v>1.25</v>
      </c>
      <c r="F31" s="3">
        <v>1.2</v>
      </c>
      <c r="G31" s="20">
        <f t="shared" si="0"/>
        <v>117.36241610738253</v>
      </c>
    </row>
    <row r="32" spans="1:18">
      <c r="A32" s="3" t="s">
        <v>196</v>
      </c>
      <c r="B32" s="3">
        <f>H20</f>
        <v>4.2</v>
      </c>
      <c r="C32" s="3">
        <f t="shared" si="1"/>
        <v>14.5</v>
      </c>
      <c r="D32" s="14">
        <f>Trasmittanze!$F$10</f>
        <v>0.72649572649572647</v>
      </c>
      <c r="E32" s="3">
        <v>1.25</v>
      </c>
      <c r="F32" s="3">
        <v>1</v>
      </c>
      <c r="G32" s="20">
        <f t="shared" si="0"/>
        <v>55.304487179487182</v>
      </c>
    </row>
    <row r="33" spans="1:8">
      <c r="A33" s="3" t="s">
        <v>197</v>
      </c>
      <c r="B33" s="3">
        <v>5.36</v>
      </c>
      <c r="C33" s="3">
        <f t="shared" si="1"/>
        <v>14.5</v>
      </c>
      <c r="D33" s="14">
        <f>Trasmittanze!I26</f>
        <v>1.006711409395973</v>
      </c>
      <c r="E33" s="3">
        <v>1.25</v>
      </c>
      <c r="F33" s="3">
        <v>1</v>
      </c>
      <c r="G33" s="20">
        <f t="shared" si="0"/>
        <v>97.802013422818774</v>
      </c>
    </row>
    <row r="34" spans="1:8">
      <c r="A34" s="3" t="s">
        <v>209</v>
      </c>
      <c r="B34" s="15">
        <f>H24</f>
        <v>166.16</v>
      </c>
      <c r="C34" s="3">
        <f t="shared" si="1"/>
        <v>14.5</v>
      </c>
      <c r="D34" s="14">
        <f>Trasmittanze!M22</f>
        <v>0.22282503390815731</v>
      </c>
      <c r="E34" s="3">
        <v>1.25</v>
      </c>
      <c r="F34" s="3">
        <v>1</v>
      </c>
      <c r="G34" s="20">
        <f t="shared" si="0"/>
        <v>671.071013369502</v>
      </c>
    </row>
    <row r="35" spans="1:8">
      <c r="A35" s="3" t="s">
        <v>340</v>
      </c>
      <c r="B35" s="15">
        <v>0</v>
      </c>
      <c r="C35" s="3">
        <f t="shared" si="1"/>
        <v>14.5</v>
      </c>
      <c r="D35" s="14">
        <f>Trasmittanze!I26</f>
        <v>1.006711409395973</v>
      </c>
      <c r="E35" s="3">
        <v>1.25</v>
      </c>
      <c r="F35" s="3">
        <v>1</v>
      </c>
      <c r="G35" s="20">
        <f t="shared" si="0"/>
        <v>0</v>
      </c>
    </row>
    <row r="36" spans="1:8">
      <c r="F36" s="2" t="s">
        <v>40</v>
      </c>
      <c r="G36" s="45">
        <f>-SUM(G29:G35)</f>
        <v>-2792.0715966479465</v>
      </c>
      <c r="H36" s="2" t="s">
        <v>39</v>
      </c>
    </row>
    <row r="37" spans="1:8">
      <c r="G37" s="29">
        <f>G36/1000</f>
        <v>-2.7920715966479466</v>
      </c>
      <c r="H37" s="2" t="s">
        <v>318</v>
      </c>
    </row>
    <row r="38" spans="1:8">
      <c r="A38" s="1" t="s">
        <v>172</v>
      </c>
    </row>
    <row r="39" spans="1:8">
      <c r="A39" s="2" t="s">
        <v>41</v>
      </c>
      <c r="B39" s="2">
        <v>24</v>
      </c>
      <c r="C39" s="23" t="s">
        <v>185</v>
      </c>
    </row>
    <row r="40" spans="1:8">
      <c r="A40" s="2" t="s">
        <v>190</v>
      </c>
      <c r="B40" s="31">
        <v>0.7</v>
      </c>
      <c r="C40" s="2" t="s">
        <v>191</v>
      </c>
    </row>
    <row r="41" spans="1:8">
      <c r="A41" s="2" t="s">
        <v>307</v>
      </c>
      <c r="B41" s="24">
        <f>32*18*B40</f>
        <v>403.2</v>
      </c>
      <c r="C41" s="2" t="s">
        <v>39</v>
      </c>
    </row>
    <row r="42" spans="1:8">
      <c r="A42" s="2" t="s">
        <v>303</v>
      </c>
      <c r="B42" s="2">
        <f>B41/1000*12*B5</f>
        <v>735.43679999999995</v>
      </c>
      <c r="C42" s="2" t="s">
        <v>78</v>
      </c>
    </row>
    <row r="43" spans="1:8">
      <c r="A43" s="2" t="s">
        <v>304</v>
      </c>
      <c r="B43" s="2">
        <v>0.22</v>
      </c>
      <c r="C43" s="2" t="s">
        <v>305</v>
      </c>
    </row>
    <row r="44" spans="1:8">
      <c r="A44" s="2" t="s">
        <v>302</v>
      </c>
      <c r="B44" s="25">
        <f>B42*B43</f>
        <v>161.79609599999998</v>
      </c>
      <c r="C44" s="2" t="s">
        <v>265</v>
      </c>
    </row>
    <row r="45" spans="1:8">
      <c r="A45" s="2" t="s">
        <v>308</v>
      </c>
      <c r="B45" s="25">
        <f>MAX.!B37-B44</f>
        <v>161.79609599999998</v>
      </c>
      <c r="C45" s="2" t="s">
        <v>309</v>
      </c>
    </row>
    <row r="46" spans="1:8">
      <c r="A46" s="2" t="s">
        <v>202</v>
      </c>
      <c r="B46" s="24">
        <f>250*B39*B40*0.5</f>
        <v>2100</v>
      </c>
      <c r="C46" s="2" t="s">
        <v>201</v>
      </c>
    </row>
    <row r="48" spans="1:8">
      <c r="A48" s="1" t="s">
        <v>60</v>
      </c>
    </row>
    <row r="49" spans="1:6">
      <c r="A49" s="2" t="s">
        <v>277</v>
      </c>
      <c r="B49" s="31">
        <v>0.7</v>
      </c>
      <c r="C49" s="2" t="s">
        <v>191</v>
      </c>
    </row>
    <row r="50" spans="1:6">
      <c r="A50" s="2" t="s">
        <v>169</v>
      </c>
      <c r="B50" s="24">
        <f>70*B39*B49</f>
        <v>1176</v>
      </c>
      <c r="C50" s="2" t="s">
        <v>42</v>
      </c>
    </row>
    <row r="51" spans="1:6">
      <c r="A51" s="2" t="s">
        <v>170</v>
      </c>
      <c r="B51" s="24">
        <f>B39*45*B49</f>
        <v>756</v>
      </c>
      <c r="C51" s="2" t="s">
        <v>43</v>
      </c>
    </row>
    <row r="53" spans="1:6">
      <c r="A53" s="1" t="s">
        <v>263</v>
      </c>
    </row>
    <row r="54" spans="1:6">
      <c r="A54" s="27" t="s">
        <v>276</v>
      </c>
    </row>
    <row r="55" spans="1:6">
      <c r="A55" s="19" t="s">
        <v>66</v>
      </c>
      <c r="B55" s="2">
        <f>B29*5.25</f>
        <v>872.34</v>
      </c>
      <c r="C55" s="2" t="s">
        <v>339</v>
      </c>
    </row>
    <row r="56" spans="1:6">
      <c r="A56" s="2" t="s">
        <v>61</v>
      </c>
      <c r="B56" s="2">
        <f>7</f>
        <v>7</v>
      </c>
      <c r="C56" s="2" t="s">
        <v>62</v>
      </c>
      <c r="F56"/>
    </row>
    <row r="57" spans="1:6">
      <c r="A57" s="2" t="s">
        <v>63</v>
      </c>
      <c r="B57" s="2">
        <f>B56*B39</f>
        <v>168</v>
      </c>
      <c r="C57" s="2" t="s">
        <v>62</v>
      </c>
      <c r="D57" s="2">
        <f>1.2*B57/1000</f>
        <v>0.2016</v>
      </c>
      <c r="E57" s="2" t="s">
        <v>64</v>
      </c>
    </row>
    <row r="58" spans="1:6">
      <c r="A58" s="2" t="s">
        <v>140</v>
      </c>
    </row>
    <row r="59" spans="1:6">
      <c r="A59" s="2" t="s">
        <v>82</v>
      </c>
      <c r="B59" s="7">
        <f>(D57/1.2*3600)/B55</f>
        <v>0.69330765527202698</v>
      </c>
      <c r="C59" s="2" t="s">
        <v>73</v>
      </c>
    </row>
    <row r="60" spans="1:6">
      <c r="A60" s="2" t="s">
        <v>74</v>
      </c>
      <c r="B60" s="45">
        <f>-D57*1006 * (20-$B$7)</f>
        <v>-2940.7392</v>
      </c>
      <c r="C60" s="2" t="s">
        <v>75</v>
      </c>
    </row>
    <row r="61" spans="1:6">
      <c r="A61" s="2" t="s">
        <v>264</v>
      </c>
      <c r="B61" s="2">
        <v>50</v>
      </c>
      <c r="C61" s="2" t="s">
        <v>265</v>
      </c>
    </row>
    <row r="63" spans="1:6">
      <c r="A63" s="1" t="s">
        <v>83</v>
      </c>
    </row>
    <row r="64" spans="1:6">
      <c r="A64" s="2" t="s">
        <v>129</v>
      </c>
      <c r="B64" s="25">
        <f>G36+B41+B46+B50+B60</f>
        <v>-2053.6107966479467</v>
      </c>
      <c r="C64" s="2" t="s">
        <v>75</v>
      </c>
    </row>
    <row r="65" spans="1:6">
      <c r="A65" s="2" t="s">
        <v>76</v>
      </c>
      <c r="B65" s="2">
        <f>B51</f>
        <v>756</v>
      </c>
      <c r="C65" s="2" t="s">
        <v>75</v>
      </c>
      <c r="D65" s="2" t="s">
        <v>203</v>
      </c>
      <c r="F65" s="7"/>
    </row>
    <row r="66" spans="1:6">
      <c r="A66" s="24" t="s">
        <v>120</v>
      </c>
      <c r="B66" s="45">
        <f>B64+B65</f>
        <v>-1297.6107966479467</v>
      </c>
      <c r="C66" s="24" t="s">
        <v>75</v>
      </c>
      <c r="D66" s="11" t="s">
        <v>269</v>
      </c>
      <c r="F66" s="7"/>
    </row>
    <row r="68" spans="1:6">
      <c r="A68" s="1" t="s">
        <v>177</v>
      </c>
    </row>
    <row r="69" spans="1:6">
      <c r="A69" s="2" t="s">
        <v>286</v>
      </c>
      <c r="B69" s="2">
        <v>13</v>
      </c>
      <c r="C69" s="2" t="s">
        <v>330</v>
      </c>
    </row>
    <row r="70" spans="1:6">
      <c r="A70" s="2" t="s">
        <v>266</v>
      </c>
      <c r="B70" s="25">
        <f>-(B66/1000)*B69*$B$5</f>
        <v>2564.0789341763425</v>
      </c>
      <c r="C70" s="2" t="s">
        <v>78</v>
      </c>
    </row>
    <row r="71" spans="1:6" ht="8" customHeight="1">
      <c r="B71" s="25"/>
    </row>
    <row r="72" spans="1:6" hidden="1">
      <c r="A72" s="2" t="s">
        <v>270</v>
      </c>
      <c r="B72" s="2">
        <v>0</v>
      </c>
      <c r="C72" s="2" t="s">
        <v>271</v>
      </c>
    </row>
    <row r="73" spans="1:6" hidden="1">
      <c r="A73" s="2" t="s">
        <v>267</v>
      </c>
      <c r="B73" s="25">
        <f>B139</f>
        <v>6178.4809999999989</v>
      </c>
      <c r="C73" s="2" t="s">
        <v>272</v>
      </c>
    </row>
    <row r="74" spans="1:6" hidden="1">
      <c r="A74" s="2" t="s">
        <v>285</v>
      </c>
      <c r="B74" s="25">
        <f>(B73/1000)*B72*$B$5</f>
        <v>0</v>
      </c>
      <c r="C74" s="2" t="s">
        <v>78</v>
      </c>
    </row>
    <row r="75" spans="1:6" ht="8.5" customHeight="1">
      <c r="B75" s="25"/>
    </row>
    <row r="80" spans="1:6">
      <c r="A80" s="21" t="s">
        <v>268</v>
      </c>
      <c r="B80" s="55">
        <f>B70+B74</f>
        <v>2564.0789341763425</v>
      </c>
      <c r="C80" s="21" t="s">
        <v>78</v>
      </c>
    </row>
    <row r="81" spans="1:5">
      <c r="A81" s="2" t="s">
        <v>223</v>
      </c>
      <c r="B81" s="2">
        <v>0.1</v>
      </c>
      <c r="C81" s="2" t="s">
        <v>79</v>
      </c>
    </row>
    <row r="82" spans="1:5">
      <c r="A82" s="21" t="s">
        <v>80</v>
      </c>
      <c r="B82" s="55">
        <f>B80*B81</f>
        <v>256.40789341763428</v>
      </c>
      <c r="C82" s="21" t="s">
        <v>81</v>
      </c>
    </row>
    <row r="84" spans="1:5">
      <c r="A84" s="21" t="s">
        <v>310</v>
      </c>
      <c r="B84" s="21">
        <f>MAX.!B65-B82</f>
        <v>3197.2462245782481</v>
      </c>
      <c r="C84" s="21" t="s">
        <v>81</v>
      </c>
    </row>
    <row r="85" spans="1:5">
      <c r="A85" s="21" t="s">
        <v>311</v>
      </c>
      <c r="B85" s="55">
        <f>B45</f>
        <v>161.79609599999998</v>
      </c>
      <c r="C85" s="21" t="s">
        <v>81</v>
      </c>
    </row>
    <row r="87" spans="1:5">
      <c r="A87" s="1" t="s">
        <v>141</v>
      </c>
    </row>
    <row r="88" spans="1:5">
      <c r="A88" s="2" t="s">
        <v>274</v>
      </c>
      <c r="B88" s="25">
        <f>50*H24</f>
        <v>8308</v>
      </c>
      <c r="C88" s="2" t="s">
        <v>145</v>
      </c>
    </row>
    <row r="89" spans="1:5">
      <c r="A89" s="2" t="s">
        <v>333</v>
      </c>
      <c r="B89" s="25">
        <f>300*B31*2</f>
        <v>3216</v>
      </c>
      <c r="C89" s="2" t="s">
        <v>334</v>
      </c>
    </row>
    <row r="90" spans="1:5">
      <c r="A90" s="2" t="s">
        <v>275</v>
      </c>
      <c r="B90" s="25">
        <v>800</v>
      </c>
      <c r="C90" s="2" t="s">
        <v>312</v>
      </c>
    </row>
    <row r="91" spans="1:5">
      <c r="A91" s="28" t="s">
        <v>144</v>
      </c>
      <c r="B91" s="25">
        <f>SUM(B88:B90)</f>
        <v>12324</v>
      </c>
      <c r="C91" s="2" t="s">
        <v>145</v>
      </c>
    </row>
    <row r="92" spans="1:5">
      <c r="A92" s="28"/>
      <c r="B92" s="25"/>
    </row>
    <row r="93" spans="1:5">
      <c r="A93" s="1" t="s">
        <v>287</v>
      </c>
    </row>
    <row r="94" spans="1:5">
      <c r="A94" s="21" t="s">
        <v>146</v>
      </c>
      <c r="B94" s="29">
        <f>B91/B84</f>
        <v>3.8545670662651799</v>
      </c>
      <c r="C94" s="24" t="s">
        <v>147</v>
      </c>
      <c r="D94" s="24"/>
      <c r="E94" s="24"/>
    </row>
    <row r="95" spans="1:5">
      <c r="A95" s="30" t="s">
        <v>148</v>
      </c>
      <c r="B95" s="51" t="s">
        <v>153</v>
      </c>
      <c r="C95" s="16" t="s">
        <v>151</v>
      </c>
      <c r="D95" s="16" t="s">
        <v>152</v>
      </c>
      <c r="E95" s="16" t="s">
        <v>149</v>
      </c>
    </row>
    <row r="96" spans="1:5">
      <c r="A96" s="52">
        <v>0</v>
      </c>
      <c r="B96" s="10">
        <f>-$B$91</f>
        <v>-12324</v>
      </c>
      <c r="C96" s="3"/>
      <c r="D96" s="20"/>
      <c r="E96" s="20">
        <f>B96</f>
        <v>-12324</v>
      </c>
    </row>
    <row r="97" spans="1:8">
      <c r="A97" s="52">
        <v>1</v>
      </c>
      <c r="B97" s="50">
        <f>-$B$61</f>
        <v>-50</v>
      </c>
      <c r="C97" s="20">
        <f>-MAX.!$B$65-MAX.!$B$37</f>
        <v>-3777.2463099958823</v>
      </c>
      <c r="D97" s="20">
        <f t="shared" ref="D97:D116" si="2">-$B$82-$B$44</f>
        <v>-418.20398941763426</v>
      </c>
      <c r="E97" s="20">
        <f>D97-C97+B97</f>
        <v>3309.0423205782481</v>
      </c>
      <c r="F97" s="27"/>
      <c r="G97" s="27"/>
      <c r="H97" s="27"/>
    </row>
    <row r="98" spans="1:8">
      <c r="A98" s="52">
        <f>A97+1</f>
        <v>2</v>
      </c>
      <c r="B98" s="50">
        <f t="shared" ref="B98:B117" si="3">-$B$61</f>
        <v>-50</v>
      </c>
      <c r="C98" s="20">
        <f>-MAX.!$B$65-MAX.!$B$37</f>
        <v>-3777.2463099958823</v>
      </c>
      <c r="D98" s="20">
        <f t="shared" si="2"/>
        <v>-418.20398941763426</v>
      </c>
      <c r="E98" s="20">
        <f t="shared" ref="E98:E116" si="4">D98-C98+B98</f>
        <v>3309.0423205782481</v>
      </c>
      <c r="F98" s="27"/>
    </row>
    <row r="99" spans="1:8">
      <c r="A99" s="52">
        <f t="shared" ref="A99:A116" si="5">A98+1</f>
        <v>3</v>
      </c>
      <c r="B99" s="50">
        <f t="shared" si="3"/>
        <v>-50</v>
      </c>
      <c r="C99" s="20">
        <f>-MAX.!$B$65-MAX.!$B$37</f>
        <v>-3777.2463099958823</v>
      </c>
      <c r="D99" s="20">
        <f t="shared" si="2"/>
        <v>-418.20398941763426</v>
      </c>
      <c r="E99" s="20">
        <f t="shared" si="4"/>
        <v>3309.0423205782481</v>
      </c>
    </row>
    <row r="100" spans="1:8">
      <c r="A100" s="52">
        <f t="shared" si="5"/>
        <v>4</v>
      </c>
      <c r="B100" s="50">
        <f t="shared" si="3"/>
        <v>-50</v>
      </c>
      <c r="C100" s="20">
        <f>-MAX.!$B$65-MAX.!$B$37</f>
        <v>-3777.2463099958823</v>
      </c>
      <c r="D100" s="20">
        <f t="shared" si="2"/>
        <v>-418.20398941763426</v>
      </c>
      <c r="E100" s="20">
        <f t="shared" si="4"/>
        <v>3309.0423205782481</v>
      </c>
    </row>
    <row r="101" spans="1:8">
      <c r="A101" s="52">
        <f t="shared" si="5"/>
        <v>5</v>
      </c>
      <c r="B101" s="50">
        <f t="shared" si="3"/>
        <v>-50</v>
      </c>
      <c r="C101" s="20">
        <f>-MAX.!$B$65-MAX.!$B$37</f>
        <v>-3777.2463099958823</v>
      </c>
      <c r="D101" s="20">
        <f t="shared" si="2"/>
        <v>-418.20398941763426</v>
      </c>
      <c r="E101" s="20">
        <f t="shared" si="4"/>
        <v>3309.0423205782481</v>
      </c>
    </row>
    <row r="102" spans="1:8">
      <c r="A102" s="52">
        <f t="shared" si="5"/>
        <v>6</v>
      </c>
      <c r="B102" s="50">
        <f t="shared" si="3"/>
        <v>-50</v>
      </c>
      <c r="C102" s="20">
        <f>-MAX.!$B$65-MAX.!$B$37</f>
        <v>-3777.2463099958823</v>
      </c>
      <c r="D102" s="20">
        <f t="shared" si="2"/>
        <v>-418.20398941763426</v>
      </c>
      <c r="E102" s="20">
        <f t="shared" si="4"/>
        <v>3309.0423205782481</v>
      </c>
    </row>
    <row r="103" spans="1:8">
      <c r="A103" s="52">
        <f t="shared" si="5"/>
        <v>7</v>
      </c>
      <c r="B103" s="50">
        <f t="shared" si="3"/>
        <v>-50</v>
      </c>
      <c r="C103" s="20">
        <f>-MAX.!$B$65-MAX.!$B$37</f>
        <v>-3777.2463099958823</v>
      </c>
      <c r="D103" s="20">
        <f t="shared" si="2"/>
        <v>-418.20398941763426</v>
      </c>
      <c r="E103" s="20">
        <f t="shared" si="4"/>
        <v>3309.0423205782481</v>
      </c>
    </row>
    <row r="104" spans="1:8">
      <c r="A104" s="52">
        <f t="shared" si="5"/>
        <v>8</v>
      </c>
      <c r="B104" s="50">
        <f t="shared" si="3"/>
        <v>-50</v>
      </c>
      <c r="C104" s="20">
        <f>-MAX.!$B$65-MAX.!$B$37</f>
        <v>-3777.2463099958823</v>
      </c>
      <c r="D104" s="20">
        <f t="shared" si="2"/>
        <v>-418.20398941763426</v>
      </c>
      <c r="E104" s="20">
        <f t="shared" si="4"/>
        <v>3309.0423205782481</v>
      </c>
    </row>
    <row r="105" spans="1:8">
      <c r="A105" s="52">
        <f t="shared" si="5"/>
        <v>9</v>
      </c>
      <c r="B105" s="50">
        <f t="shared" si="3"/>
        <v>-50</v>
      </c>
      <c r="C105" s="20">
        <f>-MAX.!$B$65-MAX.!$B$37</f>
        <v>-3777.2463099958823</v>
      </c>
      <c r="D105" s="20">
        <f t="shared" si="2"/>
        <v>-418.20398941763426</v>
      </c>
      <c r="E105" s="20">
        <f t="shared" si="4"/>
        <v>3309.0423205782481</v>
      </c>
    </row>
    <row r="106" spans="1:8">
      <c r="A106" s="52">
        <f t="shared" si="5"/>
        <v>10</v>
      </c>
      <c r="B106" s="50">
        <f t="shared" si="3"/>
        <v>-50</v>
      </c>
      <c r="C106" s="20">
        <f>-MAX.!$B$65-MAX.!$B$37</f>
        <v>-3777.2463099958823</v>
      </c>
      <c r="D106" s="20">
        <f t="shared" si="2"/>
        <v>-418.20398941763426</v>
      </c>
      <c r="E106" s="20">
        <f t="shared" si="4"/>
        <v>3309.0423205782481</v>
      </c>
    </row>
    <row r="107" spans="1:8">
      <c r="A107" s="52">
        <f t="shared" si="5"/>
        <v>11</v>
      </c>
      <c r="B107" s="50">
        <f t="shared" si="3"/>
        <v>-50</v>
      </c>
      <c r="C107" s="20">
        <f>-MAX.!$B$65-MAX.!$B$37</f>
        <v>-3777.2463099958823</v>
      </c>
      <c r="D107" s="20">
        <f t="shared" si="2"/>
        <v>-418.20398941763426</v>
      </c>
      <c r="E107" s="20">
        <f t="shared" si="4"/>
        <v>3309.0423205782481</v>
      </c>
    </row>
    <row r="108" spans="1:8">
      <c r="A108" s="52">
        <f t="shared" si="5"/>
        <v>12</v>
      </c>
      <c r="B108" s="50">
        <f t="shared" si="3"/>
        <v>-50</v>
      </c>
      <c r="C108" s="20">
        <f>-MAX.!$B$65-MAX.!$B$37</f>
        <v>-3777.2463099958823</v>
      </c>
      <c r="D108" s="20">
        <f t="shared" si="2"/>
        <v>-418.20398941763426</v>
      </c>
      <c r="E108" s="20">
        <f t="shared" si="4"/>
        <v>3309.0423205782481</v>
      </c>
    </row>
    <row r="109" spans="1:8">
      <c r="A109" s="52">
        <f t="shared" si="5"/>
        <v>13</v>
      </c>
      <c r="B109" s="50">
        <f t="shared" si="3"/>
        <v>-50</v>
      </c>
      <c r="C109" s="20">
        <f>-MAX.!$B$65-MAX.!$B$37</f>
        <v>-3777.2463099958823</v>
      </c>
      <c r="D109" s="20">
        <f t="shared" si="2"/>
        <v>-418.20398941763426</v>
      </c>
      <c r="E109" s="20">
        <f t="shared" si="4"/>
        <v>3309.0423205782481</v>
      </c>
    </row>
    <row r="110" spans="1:8">
      <c r="A110" s="52">
        <f t="shared" si="5"/>
        <v>14</v>
      </c>
      <c r="B110" s="50">
        <f t="shared" si="3"/>
        <v>-50</v>
      </c>
      <c r="C110" s="20">
        <f>-MAX.!$B$65-MAX.!$B$37</f>
        <v>-3777.2463099958823</v>
      </c>
      <c r="D110" s="20">
        <f t="shared" si="2"/>
        <v>-418.20398941763426</v>
      </c>
      <c r="E110" s="20">
        <f t="shared" si="4"/>
        <v>3309.0423205782481</v>
      </c>
    </row>
    <row r="111" spans="1:8">
      <c r="A111" s="52">
        <f t="shared" si="5"/>
        <v>15</v>
      </c>
      <c r="B111" s="50">
        <f t="shared" si="3"/>
        <v>-50</v>
      </c>
      <c r="C111" s="20">
        <f>-MAX.!$B$65-MAX.!$B$37</f>
        <v>-3777.2463099958823</v>
      </c>
      <c r="D111" s="20">
        <f t="shared" si="2"/>
        <v>-418.20398941763426</v>
      </c>
      <c r="E111" s="20">
        <f t="shared" si="4"/>
        <v>3309.0423205782481</v>
      </c>
    </row>
    <row r="112" spans="1:8">
      <c r="A112" s="52">
        <f t="shared" si="5"/>
        <v>16</v>
      </c>
      <c r="B112" s="50">
        <f t="shared" si="3"/>
        <v>-50</v>
      </c>
      <c r="C112" s="20">
        <f>-MAX.!$B$65-MAX.!$B$37</f>
        <v>-3777.2463099958823</v>
      </c>
      <c r="D112" s="20">
        <f t="shared" si="2"/>
        <v>-418.20398941763426</v>
      </c>
      <c r="E112" s="20">
        <f t="shared" si="4"/>
        <v>3309.0423205782481</v>
      </c>
    </row>
    <row r="113" spans="1:7">
      <c r="A113" s="52">
        <f t="shared" si="5"/>
        <v>17</v>
      </c>
      <c r="B113" s="50">
        <f t="shared" si="3"/>
        <v>-50</v>
      </c>
      <c r="C113" s="20">
        <f>-MAX.!$B$65-MAX.!$B$37</f>
        <v>-3777.2463099958823</v>
      </c>
      <c r="D113" s="20">
        <f t="shared" si="2"/>
        <v>-418.20398941763426</v>
      </c>
      <c r="E113" s="20">
        <f t="shared" si="4"/>
        <v>3309.0423205782481</v>
      </c>
    </row>
    <row r="114" spans="1:7">
      <c r="A114" s="52">
        <f t="shared" si="5"/>
        <v>18</v>
      </c>
      <c r="B114" s="50">
        <f t="shared" si="3"/>
        <v>-50</v>
      </c>
      <c r="C114" s="20">
        <f>-MAX.!$B$65-MAX.!$B$37</f>
        <v>-3777.2463099958823</v>
      </c>
      <c r="D114" s="20">
        <f t="shared" si="2"/>
        <v>-418.20398941763426</v>
      </c>
      <c r="E114" s="20">
        <f t="shared" si="4"/>
        <v>3309.0423205782481</v>
      </c>
    </row>
    <row r="115" spans="1:7">
      <c r="A115" s="52">
        <f t="shared" si="5"/>
        <v>19</v>
      </c>
      <c r="B115" s="50">
        <f t="shared" si="3"/>
        <v>-50</v>
      </c>
      <c r="C115" s="20">
        <f>-MAX.!$B$65-MAX.!$B$37</f>
        <v>-3777.2463099958823</v>
      </c>
      <c r="D115" s="20">
        <f t="shared" si="2"/>
        <v>-418.20398941763426</v>
      </c>
      <c r="E115" s="20">
        <f t="shared" si="4"/>
        <v>3309.0423205782481</v>
      </c>
    </row>
    <row r="116" spans="1:7">
      <c r="A116" s="52">
        <f t="shared" si="5"/>
        <v>20</v>
      </c>
      <c r="B116" s="50">
        <f t="shared" si="3"/>
        <v>-50</v>
      </c>
      <c r="C116" s="20">
        <f>-MAX.!$B$65-MAX.!$B$37</f>
        <v>-3777.2463099958823</v>
      </c>
      <c r="D116" s="20">
        <f t="shared" si="2"/>
        <v>-418.20398941763426</v>
      </c>
      <c r="E116" s="20">
        <f t="shared" si="4"/>
        <v>3309.0423205782481</v>
      </c>
    </row>
    <row r="117" spans="1:7" ht="15" thickBot="1">
      <c r="A117" s="52"/>
      <c r="B117" s="57">
        <f t="shared" si="3"/>
        <v>-50</v>
      </c>
      <c r="C117" s="58">
        <f>SUM(C97:C116)</f>
        <v>-75544.926199917667</v>
      </c>
      <c r="D117" s="58">
        <f>SUM(D96:D116)</f>
        <v>-8364.0797883526848</v>
      </c>
      <c r="E117" s="58">
        <f>SUM(E96:E116)</f>
        <v>53856.846411564984</v>
      </c>
    </row>
    <row r="118" spans="1:7" ht="15" thickBot="1">
      <c r="A118" s="59" t="s">
        <v>224</v>
      </c>
      <c r="B118" s="60">
        <f>E117</f>
        <v>53856.846411564984</v>
      </c>
      <c r="C118" s="61" t="s">
        <v>145</v>
      </c>
      <c r="D118" s="61"/>
      <c r="E118" s="62"/>
    </row>
    <row r="119" spans="1:7">
      <c r="B119" s="25"/>
    </row>
    <row r="120" spans="1:7">
      <c r="A120" s="1" t="s">
        <v>161</v>
      </c>
      <c r="B120" s="25"/>
    </row>
    <row r="121" spans="1:7">
      <c r="A121" s="2" t="s">
        <v>156</v>
      </c>
      <c r="B121" s="25">
        <f>-B80+MAX.!B63</f>
        <v>31972.462245782477</v>
      </c>
      <c r="C121" s="2" t="s">
        <v>78</v>
      </c>
    </row>
    <row r="122" spans="1:7">
      <c r="A122" s="18" t="s">
        <v>184</v>
      </c>
      <c r="B122" s="18">
        <v>11630</v>
      </c>
      <c r="C122" s="2" t="s">
        <v>78</v>
      </c>
    </row>
    <row r="123" spans="1:7">
      <c r="A123" s="2" t="s">
        <v>225</v>
      </c>
      <c r="B123" s="11">
        <f>B121/B122</f>
        <v>2.7491369084937642</v>
      </c>
      <c r="C123" s="11">
        <f>B123/0.82*1000</f>
        <v>3352.6059859680054</v>
      </c>
      <c r="D123" s="2" t="s">
        <v>155</v>
      </c>
      <c r="G123"/>
    </row>
    <row r="124" spans="1:7">
      <c r="B124" s="11"/>
      <c r="C124" s="11"/>
    </row>
    <row r="125" spans="1:7">
      <c r="A125" s="18" t="s">
        <v>159</v>
      </c>
      <c r="B125" s="18">
        <v>0.255</v>
      </c>
      <c r="C125" s="2" t="s">
        <v>157</v>
      </c>
    </row>
    <row r="126" spans="1:7">
      <c r="A126" s="2" t="s">
        <v>226</v>
      </c>
      <c r="B126" s="7">
        <f>B125*B121/1000</f>
        <v>8.1529778726745317</v>
      </c>
      <c r="C126" s="2" t="s">
        <v>160</v>
      </c>
    </row>
    <row r="129" spans="1:5">
      <c r="A129" s="1" t="s">
        <v>288</v>
      </c>
    </row>
    <row r="130" spans="1:5">
      <c r="A130" s="2" t="s">
        <v>289</v>
      </c>
      <c r="B130" s="2">
        <f>H25</f>
        <v>830.8</v>
      </c>
      <c r="C130" s="2" t="s">
        <v>228</v>
      </c>
    </row>
    <row r="131" spans="1:5">
      <c r="A131" s="2" t="s">
        <v>237</v>
      </c>
      <c r="B131" s="2">
        <v>17</v>
      </c>
      <c r="C131" s="27" t="s">
        <v>273</v>
      </c>
    </row>
    <row r="132" spans="1:5">
      <c r="A132" s="2" t="s">
        <v>254</v>
      </c>
      <c r="B132" s="2">
        <v>20</v>
      </c>
      <c r="C132" s="2" t="s">
        <v>28</v>
      </c>
    </row>
    <row r="133" spans="1:5">
      <c r="A133" s="2" t="s">
        <v>290</v>
      </c>
      <c r="B133" s="2">
        <f>3600</f>
        <v>3600</v>
      </c>
      <c r="C133" s="2" t="s">
        <v>229</v>
      </c>
    </row>
    <row r="134" spans="1:5">
      <c r="A134" s="2" t="s">
        <v>235</v>
      </c>
      <c r="B134" s="12">
        <f>1.2*B130/B133</f>
        <v>0.27693333333333331</v>
      </c>
      <c r="C134" s="2" t="s">
        <v>64</v>
      </c>
      <c r="D134" s="2">
        <f>B134/1.2*3600</f>
        <v>830.8</v>
      </c>
      <c r="E134" s="2" t="s">
        <v>65</v>
      </c>
    </row>
    <row r="135" spans="1:5">
      <c r="A135" s="2" t="s">
        <v>242</v>
      </c>
      <c r="B135" s="25">
        <f>1006*B134*(B132-B131)</f>
        <v>835.7847999999999</v>
      </c>
      <c r="C135" s="2" t="s">
        <v>240</v>
      </c>
    </row>
    <row r="136" spans="1:5">
      <c r="A136" s="2" t="s">
        <v>291</v>
      </c>
      <c r="B136" s="25">
        <v>4107</v>
      </c>
      <c r="C136" s="27" t="s">
        <v>250</v>
      </c>
    </row>
    <row r="137" spans="1:5">
      <c r="A137" s="24" t="s">
        <v>258</v>
      </c>
      <c r="B137" s="45">
        <f>B136+B135</f>
        <v>4942.7847999999994</v>
      </c>
      <c r="C137" s="24" t="s">
        <v>39</v>
      </c>
    </row>
    <row r="138" spans="1:5">
      <c r="A138" s="2" t="s">
        <v>253</v>
      </c>
      <c r="B138" s="7">
        <v>0.8</v>
      </c>
    </row>
    <row r="139" spans="1:5">
      <c r="A139" s="24" t="s">
        <v>292</v>
      </c>
      <c r="B139" s="45">
        <f>(B135+B136)/B138</f>
        <v>6178.4809999999989</v>
      </c>
      <c r="C139" s="63" t="s">
        <v>244</v>
      </c>
    </row>
  </sheetData>
  <pageMargins left="0.7" right="0.7" top="0.75" bottom="0.75" header="0.3" footer="0.3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2"/>
  <sheetViews>
    <sheetView tabSelected="1" topLeftCell="A67" zoomScale="140" zoomScaleNormal="140" workbookViewId="0">
      <selection activeCell="B71" sqref="B71"/>
    </sheetView>
  </sheetViews>
  <sheetFormatPr defaultRowHeight="14.5"/>
  <cols>
    <col min="1" max="1" width="28.906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7" ht="18.5">
      <c r="A1" s="17" t="s">
        <v>167</v>
      </c>
    </row>
    <row r="2" spans="1:7">
      <c r="A2" s="2" t="s">
        <v>47</v>
      </c>
      <c r="B2" s="2" t="s">
        <v>48</v>
      </c>
    </row>
    <row r="3" spans="1:7">
      <c r="A3" s="2" t="s">
        <v>187</v>
      </c>
      <c r="B3" s="2">
        <v>2340</v>
      </c>
      <c r="C3" s="2" t="s">
        <v>188</v>
      </c>
    </row>
    <row r="4" spans="1:7">
      <c r="A4" s="2" t="s">
        <v>189</v>
      </c>
      <c r="B4" s="2" t="s">
        <v>199</v>
      </c>
    </row>
    <row r="5" spans="1:7">
      <c r="A5" s="2" t="s">
        <v>49</v>
      </c>
      <c r="B5" s="2">
        <f>183-6*4-15</f>
        <v>144</v>
      </c>
      <c r="C5" s="2" t="s">
        <v>200</v>
      </c>
    </row>
    <row r="6" spans="1:7">
      <c r="A6" s="2" t="s">
        <v>50</v>
      </c>
      <c r="B6" s="2">
        <v>-7</v>
      </c>
      <c r="C6" s="2" t="s">
        <v>28</v>
      </c>
    </row>
    <row r="7" spans="1:7">
      <c r="A7" s="2" t="s">
        <v>51</v>
      </c>
      <c r="B7" s="2">
        <v>5.5</v>
      </c>
      <c r="C7" s="2" t="s">
        <v>28</v>
      </c>
    </row>
    <row r="8" spans="1:7">
      <c r="A8" s="2" t="s">
        <v>53</v>
      </c>
      <c r="B8" s="2">
        <v>5.5</v>
      </c>
      <c r="C8" s="2" t="s">
        <v>28</v>
      </c>
    </row>
    <row r="9" spans="1:7" ht="11" customHeight="1"/>
    <row r="10" spans="1:7" ht="15" thickBot="1">
      <c r="A10" s="1" t="s">
        <v>294</v>
      </c>
    </row>
    <row r="11" spans="1:7">
      <c r="A11" s="64" t="s">
        <v>296</v>
      </c>
      <c r="B11" s="65"/>
      <c r="C11" s="65"/>
      <c r="D11" s="65"/>
      <c r="E11" s="65"/>
      <c r="F11" s="66"/>
    </row>
    <row r="12" spans="1:7">
      <c r="A12" s="67" t="s">
        <v>295</v>
      </c>
      <c r="B12" s="68"/>
      <c r="C12" s="68"/>
      <c r="D12" s="68"/>
      <c r="E12" s="68"/>
      <c r="F12" s="69"/>
    </row>
    <row r="13" spans="1:7" ht="15" thickBot="1">
      <c r="A13" s="70" t="s">
        <v>297</v>
      </c>
      <c r="B13" s="71"/>
      <c r="C13" s="71"/>
      <c r="D13" s="71"/>
      <c r="E13" s="71"/>
      <c r="F13" s="72"/>
    </row>
    <row r="14" spans="1:7" ht="11" customHeight="1">
      <c r="A14" s="27"/>
    </row>
    <row r="15" spans="1:7">
      <c r="A15" s="1" t="s">
        <v>54</v>
      </c>
    </row>
    <row r="16" spans="1:7">
      <c r="A16" s="1" t="s">
        <v>23</v>
      </c>
      <c r="D16" s="1" t="s">
        <v>192</v>
      </c>
      <c r="G16" s="1" t="s">
        <v>193</v>
      </c>
    </row>
    <row r="17" spans="1:18">
      <c r="A17" s="2" t="s">
        <v>5</v>
      </c>
      <c r="B17" s="11">
        <f>8-5.25</f>
        <v>2.75</v>
      </c>
      <c r="C17" s="2" t="s">
        <v>4</v>
      </c>
      <c r="D17" s="2" t="s">
        <v>67</v>
      </c>
      <c r="E17" s="2">
        <f>5.25+0.2+0.8</f>
        <v>6.25</v>
      </c>
      <c r="F17" s="2" t="s">
        <v>4</v>
      </c>
      <c r="G17" s="2" t="s">
        <v>67</v>
      </c>
      <c r="H17" s="2">
        <v>1.5</v>
      </c>
      <c r="I17" s="2" t="s">
        <v>1</v>
      </c>
      <c r="R17" s="12"/>
    </row>
    <row r="18" spans="1:18">
      <c r="A18" s="2" t="s">
        <v>6</v>
      </c>
      <c r="B18" s="11">
        <v>6</v>
      </c>
      <c r="C18" s="2" t="s">
        <v>4</v>
      </c>
      <c r="D18" s="2" t="s">
        <v>68</v>
      </c>
      <c r="E18" s="7">
        <f>E17*B20</f>
        <v>41.875</v>
      </c>
      <c r="F18" s="2" t="s">
        <v>1</v>
      </c>
      <c r="G18" s="2" t="s">
        <v>68</v>
      </c>
      <c r="H18" s="2">
        <f>H17*B20-H19</f>
        <v>4.2</v>
      </c>
      <c r="I18" s="2" t="s">
        <v>1</v>
      </c>
      <c r="R18" s="12"/>
    </row>
    <row r="19" spans="1:18">
      <c r="A19" s="2" t="s">
        <v>7</v>
      </c>
      <c r="B19" s="11">
        <f>(B17^2+B18^2)^0.5</f>
        <v>6.6001893912220426</v>
      </c>
      <c r="C19" s="2" t="s">
        <v>4</v>
      </c>
      <c r="D19" s="2" t="s">
        <v>69</v>
      </c>
      <c r="E19" s="2">
        <f>1.5*(B20-0.2)</f>
        <v>9.75</v>
      </c>
      <c r="F19" s="2" t="s">
        <v>1</v>
      </c>
      <c r="G19" s="2" t="s">
        <v>69</v>
      </c>
      <c r="H19" s="2">
        <f>0.9*(B20-0.2)</f>
        <v>5.8500000000000005</v>
      </c>
      <c r="I19" s="2" t="s">
        <v>1</v>
      </c>
      <c r="R19" s="12"/>
    </row>
    <row r="20" spans="1:18">
      <c r="A20" s="2" t="s">
        <v>8</v>
      </c>
      <c r="B20" s="11">
        <v>6.7</v>
      </c>
      <c r="C20" s="2" t="s">
        <v>4</v>
      </c>
      <c r="R20" s="12"/>
    </row>
    <row r="21" spans="1:18">
      <c r="A21" s="2" t="s">
        <v>0</v>
      </c>
      <c r="B21" s="11">
        <f>4*B19*B20</f>
        <v>176.88507568475075</v>
      </c>
      <c r="C21" s="2" t="s">
        <v>1</v>
      </c>
      <c r="D21" s="1" t="s">
        <v>2</v>
      </c>
      <c r="E21" s="11"/>
      <c r="G21" s="1" t="s">
        <v>9</v>
      </c>
      <c r="R21" s="12"/>
    </row>
    <row r="22" spans="1:18">
      <c r="D22" s="2" t="s">
        <v>138</v>
      </c>
      <c r="E22" s="11">
        <f>1.5*3*(B20-0.2)</f>
        <v>29.25</v>
      </c>
      <c r="F22" s="2" t="s">
        <v>1</v>
      </c>
      <c r="G22" s="2" t="s">
        <v>70</v>
      </c>
      <c r="H22" s="2">
        <f>6.7*24.8</f>
        <v>166.16</v>
      </c>
      <c r="I22" s="2" t="s">
        <v>1</v>
      </c>
      <c r="R22" s="12"/>
    </row>
    <row r="23" spans="1:18" ht="14.5" customHeight="1">
      <c r="G23" s="2" t="s">
        <v>227</v>
      </c>
      <c r="H23" s="2">
        <f>H22*5</f>
        <v>830.8</v>
      </c>
      <c r="I23" s="2" t="s">
        <v>228</v>
      </c>
    </row>
    <row r="24" spans="1:18">
      <c r="A24" s="1" t="s">
        <v>55</v>
      </c>
    </row>
    <row r="25" spans="1:18">
      <c r="A25" s="27" t="s">
        <v>222</v>
      </c>
    </row>
    <row r="26" spans="1:18">
      <c r="A26" s="16" t="s">
        <v>29</v>
      </c>
      <c r="B26" s="16" t="s">
        <v>3</v>
      </c>
      <c r="C26" s="16" t="s">
        <v>56</v>
      </c>
      <c r="D26" s="16" t="s">
        <v>13</v>
      </c>
      <c r="E26" s="16" t="s">
        <v>57</v>
      </c>
      <c r="F26" s="16" t="s">
        <v>30</v>
      </c>
      <c r="G26" s="16" t="s">
        <v>32</v>
      </c>
    </row>
    <row r="27" spans="1:18">
      <c r="A27" s="3" t="s">
        <v>31</v>
      </c>
      <c r="B27" s="3">
        <f>H22</f>
        <v>166.16</v>
      </c>
      <c r="C27" s="3">
        <f>20-10</f>
        <v>10</v>
      </c>
      <c r="D27" s="14">
        <f>Trasmittanze!B29</f>
        <v>0.57238949478638423</v>
      </c>
      <c r="E27" s="3">
        <v>1.25</v>
      </c>
      <c r="F27" s="3">
        <v>1</v>
      </c>
      <c r="G27" s="20">
        <f t="shared" ref="G27:G33" si="0">B27*C27*D27*E27*F27</f>
        <v>1188.85298067132</v>
      </c>
    </row>
    <row r="28" spans="1:18">
      <c r="A28" s="3" t="s">
        <v>194</v>
      </c>
      <c r="B28" s="14">
        <f>E18</f>
        <v>41.875</v>
      </c>
      <c r="C28" s="3">
        <f>20-$B$7</f>
        <v>14.5</v>
      </c>
      <c r="D28" s="14">
        <f>Trasmittanze!$F$10</f>
        <v>0.72649572649572647</v>
      </c>
      <c r="E28" s="3">
        <v>1.25</v>
      </c>
      <c r="F28" s="3">
        <v>1.2</v>
      </c>
      <c r="G28" s="20">
        <f t="shared" si="0"/>
        <v>661.67868589743591</v>
      </c>
    </row>
    <row r="29" spans="1:18">
      <c r="A29" s="3" t="s">
        <v>195</v>
      </c>
      <c r="B29" s="3">
        <v>0</v>
      </c>
      <c r="C29" s="3">
        <f t="shared" ref="C29:C33" si="1">20-$B$7</f>
        <v>14.5</v>
      </c>
      <c r="D29" s="14">
        <f>Trasmittanze!I26</f>
        <v>1.006711409395973</v>
      </c>
      <c r="E29" s="3">
        <v>1.25</v>
      </c>
      <c r="F29" s="3">
        <v>1.2</v>
      </c>
      <c r="G29" s="20">
        <f t="shared" si="0"/>
        <v>0</v>
      </c>
    </row>
    <row r="30" spans="1:18">
      <c r="A30" s="3" t="s">
        <v>196</v>
      </c>
      <c r="B30" s="3">
        <f>H18</f>
        <v>4.2</v>
      </c>
      <c r="C30" s="3">
        <f t="shared" si="1"/>
        <v>14.5</v>
      </c>
      <c r="D30" s="14">
        <f>Trasmittanze!$F$10</f>
        <v>0.72649572649572647</v>
      </c>
      <c r="E30" s="3">
        <v>1.25</v>
      </c>
      <c r="F30" s="3">
        <v>1</v>
      </c>
      <c r="G30" s="20">
        <f t="shared" si="0"/>
        <v>55.304487179487182</v>
      </c>
    </row>
    <row r="31" spans="1:18">
      <c r="A31" s="3" t="s">
        <v>197</v>
      </c>
      <c r="B31" s="3">
        <v>0</v>
      </c>
      <c r="C31" s="3">
        <f t="shared" si="1"/>
        <v>14.5</v>
      </c>
      <c r="D31" s="14">
        <f>Trasmittanze!I26</f>
        <v>1.006711409395973</v>
      </c>
      <c r="E31" s="3">
        <v>1.25</v>
      </c>
      <c r="F31" s="3">
        <v>1</v>
      </c>
      <c r="G31" s="20">
        <f t="shared" si="0"/>
        <v>0</v>
      </c>
    </row>
    <row r="32" spans="1:18">
      <c r="A32" s="3" t="s">
        <v>209</v>
      </c>
      <c r="B32" s="15">
        <f>H22</f>
        <v>166.16</v>
      </c>
      <c r="C32" s="3">
        <f t="shared" si="1"/>
        <v>14.5</v>
      </c>
      <c r="D32" s="14">
        <f>Trasmittanze!M22</f>
        <v>0.22282503390815731</v>
      </c>
      <c r="E32" s="3">
        <v>1.25</v>
      </c>
      <c r="F32" s="3">
        <v>1</v>
      </c>
      <c r="G32" s="20">
        <f t="shared" si="0"/>
        <v>671.071013369502</v>
      </c>
    </row>
    <row r="33" spans="1:8">
      <c r="A33" s="3" t="s">
        <v>38</v>
      </c>
      <c r="B33" s="15">
        <v>0</v>
      </c>
      <c r="C33" s="3">
        <f t="shared" si="1"/>
        <v>14.5</v>
      </c>
      <c r="D33" s="14">
        <f>Trasmittanze!I26</f>
        <v>1.006711409395973</v>
      </c>
      <c r="E33" s="3">
        <v>1.25</v>
      </c>
      <c r="F33" s="3">
        <v>1</v>
      </c>
      <c r="G33" s="20">
        <f t="shared" si="0"/>
        <v>0</v>
      </c>
    </row>
    <row r="34" spans="1:8">
      <c r="F34" s="2" t="s">
        <v>40</v>
      </c>
      <c r="G34" s="25">
        <f>-SUM(G27:G33)</f>
        <v>-2576.9071671177453</v>
      </c>
      <c r="H34" s="2" t="s">
        <v>39</v>
      </c>
    </row>
    <row r="35" spans="1:8">
      <c r="A35" s="1" t="s">
        <v>172</v>
      </c>
    </row>
    <row r="36" spans="1:8">
      <c r="A36" s="2" t="s">
        <v>41</v>
      </c>
      <c r="B36" s="2">
        <v>24</v>
      </c>
      <c r="C36" s="23" t="s">
        <v>185</v>
      </c>
    </row>
    <row r="37" spans="1:8">
      <c r="A37" s="2" t="s">
        <v>190</v>
      </c>
      <c r="B37" s="31">
        <v>0.7</v>
      </c>
      <c r="C37" s="2" t="s">
        <v>191</v>
      </c>
    </row>
    <row r="38" spans="1:8">
      <c r="A38" s="2" t="s">
        <v>284</v>
      </c>
      <c r="B38" s="2">
        <f>20*18*B37</f>
        <v>251.99999999999997</v>
      </c>
      <c r="C38" s="2" t="s">
        <v>39</v>
      </c>
    </row>
    <row r="39" spans="1:8">
      <c r="A39" s="2" t="s">
        <v>202</v>
      </c>
      <c r="B39" s="2">
        <f>250*B36*B37*0.5</f>
        <v>2100</v>
      </c>
      <c r="C39" s="2" t="s">
        <v>201</v>
      </c>
    </row>
    <row r="41" spans="1:8">
      <c r="A41" s="1" t="s">
        <v>60</v>
      </c>
    </row>
    <row r="42" spans="1:8">
      <c r="A42" s="2" t="s">
        <v>190</v>
      </c>
      <c r="B42" s="31">
        <v>0.7</v>
      </c>
      <c r="C42" s="2" t="s">
        <v>191</v>
      </c>
    </row>
    <row r="43" spans="1:8">
      <c r="A43" s="2" t="s">
        <v>169</v>
      </c>
      <c r="B43" s="2">
        <f>70*B36*B42</f>
        <v>1176</v>
      </c>
      <c r="C43" s="2" t="s">
        <v>42</v>
      </c>
    </row>
    <row r="44" spans="1:8">
      <c r="A44" s="2" t="s">
        <v>170</v>
      </c>
      <c r="B44" s="2">
        <f>B36*45*B42</f>
        <v>756</v>
      </c>
      <c r="C44" s="2" t="s">
        <v>43</v>
      </c>
    </row>
    <row r="46" spans="1:8">
      <c r="A46" s="1" t="s">
        <v>246</v>
      </c>
    </row>
    <row r="47" spans="1:8">
      <c r="A47" s="19" t="s">
        <v>66</v>
      </c>
      <c r="B47" s="2">
        <f>B27*5</f>
        <v>830.8</v>
      </c>
      <c r="C47" s="2" t="s">
        <v>249</v>
      </c>
    </row>
    <row r="48" spans="1:8">
      <c r="A48" s="2" t="s">
        <v>61</v>
      </c>
      <c r="B48" s="2">
        <f>7</f>
        <v>7</v>
      </c>
      <c r="C48" s="2" t="s">
        <v>62</v>
      </c>
    </row>
    <row r="49" spans="1:12">
      <c r="A49" s="2" t="s">
        <v>63</v>
      </c>
      <c r="B49" s="2">
        <f>B48*B36</f>
        <v>168</v>
      </c>
      <c r="C49" s="2" t="s">
        <v>62</v>
      </c>
      <c r="D49" s="2">
        <f>1.2*B49/1000</f>
        <v>0.2016</v>
      </c>
      <c r="E49" s="2" t="s">
        <v>64</v>
      </c>
    </row>
    <row r="50" spans="1:12">
      <c r="A50" s="2" t="s">
        <v>140</v>
      </c>
    </row>
    <row r="51" spans="1:12">
      <c r="A51" s="2" t="s">
        <v>82</v>
      </c>
      <c r="B51" s="7">
        <f>(D49/1.2*3600)/B47</f>
        <v>0.72797303803562841</v>
      </c>
      <c r="C51" s="2" t="s">
        <v>73</v>
      </c>
    </row>
    <row r="52" spans="1:12">
      <c r="A52" s="2" t="s">
        <v>74</v>
      </c>
      <c r="B52" s="25">
        <f>-D49*1006 * (20-$B$7)</f>
        <v>-2940.7392</v>
      </c>
      <c r="C52" s="2" t="s">
        <v>75</v>
      </c>
      <c r="K52" s="7">
        <f>-(B52-B53)/1000*7</f>
        <v>17.909101728</v>
      </c>
      <c r="L52" s="2" t="s">
        <v>346</v>
      </c>
    </row>
    <row r="53" spans="1:12">
      <c r="A53" s="2" t="s">
        <v>344</v>
      </c>
      <c r="B53" s="25">
        <f>B52*(1-0.87)</f>
        <v>-382.29609600000003</v>
      </c>
      <c r="C53" s="2" t="s">
        <v>75</v>
      </c>
      <c r="K53" s="2">
        <f>K52*14*B5</f>
        <v>36104.749083647999</v>
      </c>
      <c r="L53" s="2" t="s">
        <v>345</v>
      </c>
    </row>
    <row r="54" spans="1:12">
      <c r="A54" s="2" t="s">
        <v>347</v>
      </c>
      <c r="B54" s="25">
        <v>150</v>
      </c>
      <c r="C54" s="2" t="s">
        <v>81</v>
      </c>
      <c r="K54" s="2">
        <f>K53*0.1</f>
        <v>3610.4749083648003</v>
      </c>
      <c r="L54" s="2" t="s">
        <v>265</v>
      </c>
    </row>
    <row r="56" spans="1:12">
      <c r="A56" s="1" t="s">
        <v>83</v>
      </c>
    </row>
    <row r="57" spans="1:12">
      <c r="A57" s="2" t="s">
        <v>129</v>
      </c>
      <c r="B57" s="25">
        <f>G34+B38+B39+B43+B53</f>
        <v>568.79673688225466</v>
      </c>
      <c r="C57" s="2" t="s">
        <v>75</v>
      </c>
    </row>
    <row r="58" spans="1:12">
      <c r="A58" s="2" t="s">
        <v>76</v>
      </c>
      <c r="B58" s="2">
        <f>B44</f>
        <v>756</v>
      </c>
      <c r="C58" s="2" t="s">
        <v>75</v>
      </c>
      <c r="D58" s="2" t="s">
        <v>203</v>
      </c>
      <c r="F58" s="7"/>
    </row>
    <row r="59" spans="1:12">
      <c r="A59" s="24" t="s">
        <v>120</v>
      </c>
      <c r="B59" s="45">
        <f>B57+B58</f>
        <v>1324.7967368822547</v>
      </c>
      <c r="C59" s="24" t="s">
        <v>75</v>
      </c>
      <c r="D59" s="11" t="s">
        <v>230</v>
      </c>
      <c r="F59" s="7"/>
    </row>
    <row r="61" spans="1:12">
      <c r="A61" s="1" t="s">
        <v>298</v>
      </c>
    </row>
    <row r="62" spans="1:12">
      <c r="A62" s="19" t="s">
        <v>247</v>
      </c>
      <c r="B62" s="25">
        <f>B122</f>
        <v>6178.4809999999989</v>
      </c>
      <c r="C62" s="2" t="s">
        <v>272</v>
      </c>
    </row>
    <row r="63" spans="1:12">
      <c r="A63" s="2" t="s">
        <v>77</v>
      </c>
      <c r="B63" s="2">
        <v>1.5</v>
      </c>
      <c r="C63" s="2" t="s">
        <v>300</v>
      </c>
    </row>
    <row r="64" spans="1:12">
      <c r="A64" s="21" t="s">
        <v>127</v>
      </c>
      <c r="B64" s="21">
        <f>$B$5*(B62/1000)*$B$63</f>
        <v>1334.5518959999997</v>
      </c>
      <c r="C64" s="21" t="s">
        <v>299</v>
      </c>
      <c r="D64" s="2" t="s">
        <v>301</v>
      </c>
    </row>
    <row r="65" spans="1:8">
      <c r="A65" s="2" t="s">
        <v>223</v>
      </c>
      <c r="B65" s="2">
        <v>0.1</v>
      </c>
      <c r="C65" s="2" t="s">
        <v>79</v>
      </c>
    </row>
    <row r="66" spans="1:8">
      <c r="A66" s="24" t="s">
        <v>80</v>
      </c>
      <c r="B66" s="45">
        <f>B64*B65</f>
        <v>133.45518959999998</v>
      </c>
      <c r="C66" s="24" t="s">
        <v>81</v>
      </c>
    </row>
    <row r="68" spans="1:8">
      <c r="A68" s="21" t="s">
        <v>92</v>
      </c>
      <c r="B68" s="21">
        <f>MAX.!B65-B66</f>
        <v>3320.1989283958824</v>
      </c>
      <c r="C68" s="21" t="s">
        <v>81</v>
      </c>
    </row>
    <row r="70" spans="1:8">
      <c r="A70" s="1" t="s">
        <v>141</v>
      </c>
    </row>
    <row r="71" spans="1:8">
      <c r="A71" s="2" t="s">
        <v>348</v>
      </c>
      <c r="B71" s="2">
        <v>3160</v>
      </c>
      <c r="C71" s="2" t="s">
        <v>145</v>
      </c>
    </row>
    <row r="72" spans="1:8">
      <c r="A72" s="2" t="s">
        <v>349</v>
      </c>
      <c r="C72" s="2" t="s">
        <v>145</v>
      </c>
    </row>
    <row r="73" spans="1:8">
      <c r="A73" s="2" t="s">
        <v>211</v>
      </c>
      <c r="B73" s="25">
        <f>40*H22</f>
        <v>6646.4</v>
      </c>
      <c r="C73" s="2" t="s">
        <v>145</v>
      </c>
    </row>
    <row r="74" spans="1:8">
      <c r="A74" s="28" t="s">
        <v>144</v>
      </c>
      <c r="B74" s="2">
        <f>SUM(B71:B73)</f>
        <v>9806.4</v>
      </c>
      <c r="C74" s="2" t="s">
        <v>145</v>
      </c>
    </row>
    <row r="76" spans="1:8">
      <c r="A76" s="21" t="s">
        <v>146</v>
      </c>
      <c r="B76" s="29">
        <f>B74/B68</f>
        <v>2.9535579679070176</v>
      </c>
      <c r="C76" s="24" t="s">
        <v>147</v>
      </c>
    </row>
    <row r="78" spans="1:8">
      <c r="A78" s="30" t="s">
        <v>148</v>
      </c>
      <c r="B78" s="51" t="s">
        <v>153</v>
      </c>
      <c r="C78" s="16" t="s">
        <v>151</v>
      </c>
      <c r="D78" s="16" t="s">
        <v>152</v>
      </c>
      <c r="E78" s="16" t="s">
        <v>149</v>
      </c>
    </row>
    <row r="79" spans="1:8">
      <c r="A79" s="52">
        <v>0</v>
      </c>
      <c r="B79" s="10">
        <f>-$B$74</f>
        <v>-9806.4</v>
      </c>
      <c r="C79" s="3"/>
      <c r="D79" s="20"/>
      <c r="E79" s="20">
        <f>B79</f>
        <v>-9806.4</v>
      </c>
    </row>
    <row r="80" spans="1:8">
      <c r="A80" s="52">
        <v>1</v>
      </c>
      <c r="B80" s="50">
        <f>-$B$54</f>
        <v>-150</v>
      </c>
      <c r="C80" s="20">
        <f>-MAX.!$B$65</f>
        <v>-3453.6541179958822</v>
      </c>
      <c r="D80" s="20">
        <f>-$B$66</f>
        <v>-133.45518959999998</v>
      </c>
      <c r="E80" s="20">
        <f>D80-C80+B80</f>
        <v>3170.1989283958824</v>
      </c>
      <c r="F80" s="27"/>
      <c r="G80" s="27"/>
      <c r="H80" s="27"/>
    </row>
    <row r="81" spans="1:6">
      <c r="A81" s="52">
        <f>A80+1</f>
        <v>2</v>
      </c>
      <c r="B81" s="50">
        <f t="shared" ref="B81:B99" si="2">-$B$54</f>
        <v>-150</v>
      </c>
      <c r="C81" s="20">
        <f>-MAX.!$B$65</f>
        <v>-3453.6541179958822</v>
      </c>
      <c r="D81" s="20">
        <f t="shared" ref="D81:D99" si="3">-$B$66</f>
        <v>-133.45518959999998</v>
      </c>
      <c r="E81" s="20">
        <f t="shared" ref="E81:E99" si="4">D81-C81+B81</f>
        <v>3170.1989283958824</v>
      </c>
      <c r="F81" s="27"/>
    </row>
    <row r="82" spans="1:6">
      <c r="A82" s="52">
        <f t="shared" ref="A82:A99" si="5">A81+1</f>
        <v>3</v>
      </c>
      <c r="B82" s="50">
        <f t="shared" si="2"/>
        <v>-150</v>
      </c>
      <c r="C82" s="20">
        <f>-MAX.!$B$65</f>
        <v>-3453.6541179958822</v>
      </c>
      <c r="D82" s="20">
        <f t="shared" si="3"/>
        <v>-133.45518959999998</v>
      </c>
      <c r="E82" s="20">
        <f t="shared" si="4"/>
        <v>3170.1989283958824</v>
      </c>
    </row>
    <row r="83" spans="1:6">
      <c r="A83" s="52">
        <f t="shared" si="5"/>
        <v>4</v>
      </c>
      <c r="B83" s="50">
        <f t="shared" si="2"/>
        <v>-150</v>
      </c>
      <c r="C83" s="20">
        <f>-MAX.!$B$65</f>
        <v>-3453.6541179958822</v>
      </c>
      <c r="D83" s="20">
        <f t="shared" si="3"/>
        <v>-133.45518959999998</v>
      </c>
      <c r="E83" s="20">
        <f t="shared" si="4"/>
        <v>3170.1989283958824</v>
      </c>
    </row>
    <row r="84" spans="1:6">
      <c r="A84" s="52">
        <f t="shared" si="5"/>
        <v>5</v>
      </c>
      <c r="B84" s="50">
        <f t="shared" si="2"/>
        <v>-150</v>
      </c>
      <c r="C84" s="20">
        <f>-MAX.!$B$65</f>
        <v>-3453.6541179958822</v>
      </c>
      <c r="D84" s="20">
        <f t="shared" si="3"/>
        <v>-133.45518959999998</v>
      </c>
      <c r="E84" s="20">
        <f t="shared" si="4"/>
        <v>3170.1989283958824</v>
      </c>
    </row>
    <row r="85" spans="1:6">
      <c r="A85" s="52">
        <f t="shared" si="5"/>
        <v>6</v>
      </c>
      <c r="B85" s="50">
        <f t="shared" si="2"/>
        <v>-150</v>
      </c>
      <c r="C85" s="20">
        <f>-MAX.!$B$65</f>
        <v>-3453.6541179958822</v>
      </c>
      <c r="D85" s="20">
        <f t="shared" si="3"/>
        <v>-133.45518959999998</v>
      </c>
      <c r="E85" s="20">
        <f t="shared" si="4"/>
        <v>3170.1989283958824</v>
      </c>
    </row>
    <row r="86" spans="1:6">
      <c r="A86" s="52">
        <f t="shared" si="5"/>
        <v>7</v>
      </c>
      <c r="B86" s="50">
        <f t="shared" si="2"/>
        <v>-150</v>
      </c>
      <c r="C86" s="20">
        <f>-MAX.!$B$65</f>
        <v>-3453.6541179958822</v>
      </c>
      <c r="D86" s="20">
        <f t="shared" si="3"/>
        <v>-133.45518959999998</v>
      </c>
      <c r="E86" s="20">
        <f t="shared" si="4"/>
        <v>3170.1989283958824</v>
      </c>
    </row>
    <row r="87" spans="1:6">
      <c r="A87" s="52">
        <f t="shared" si="5"/>
        <v>8</v>
      </c>
      <c r="B87" s="50">
        <f t="shared" si="2"/>
        <v>-150</v>
      </c>
      <c r="C87" s="20">
        <f>-MAX.!$B$65</f>
        <v>-3453.6541179958822</v>
      </c>
      <c r="D87" s="20">
        <f t="shared" si="3"/>
        <v>-133.45518959999998</v>
      </c>
      <c r="E87" s="20">
        <f t="shared" si="4"/>
        <v>3170.1989283958824</v>
      </c>
    </row>
    <row r="88" spans="1:6">
      <c r="A88" s="52">
        <f t="shared" si="5"/>
        <v>9</v>
      </c>
      <c r="B88" s="50">
        <f t="shared" si="2"/>
        <v>-150</v>
      </c>
      <c r="C88" s="20">
        <f>-MAX.!$B$65</f>
        <v>-3453.6541179958822</v>
      </c>
      <c r="D88" s="20">
        <f t="shared" si="3"/>
        <v>-133.45518959999998</v>
      </c>
      <c r="E88" s="20">
        <f t="shared" si="4"/>
        <v>3170.1989283958824</v>
      </c>
    </row>
    <row r="89" spans="1:6">
      <c r="A89" s="52">
        <f t="shared" si="5"/>
        <v>10</v>
      </c>
      <c r="B89" s="50">
        <f t="shared" si="2"/>
        <v>-150</v>
      </c>
      <c r="C89" s="20">
        <f>-MAX.!$B$65</f>
        <v>-3453.6541179958822</v>
      </c>
      <c r="D89" s="20">
        <f t="shared" si="3"/>
        <v>-133.45518959999998</v>
      </c>
      <c r="E89" s="20">
        <f t="shared" si="4"/>
        <v>3170.1989283958824</v>
      </c>
    </row>
    <row r="90" spans="1:6">
      <c r="A90" s="52">
        <f t="shared" si="5"/>
        <v>11</v>
      </c>
      <c r="B90" s="50">
        <f t="shared" si="2"/>
        <v>-150</v>
      </c>
      <c r="C90" s="20">
        <f>-MAX.!$B$65</f>
        <v>-3453.6541179958822</v>
      </c>
      <c r="D90" s="20">
        <f t="shared" si="3"/>
        <v>-133.45518959999998</v>
      </c>
      <c r="E90" s="20">
        <f t="shared" si="4"/>
        <v>3170.1989283958824</v>
      </c>
    </row>
    <row r="91" spans="1:6">
      <c r="A91" s="52">
        <f t="shared" si="5"/>
        <v>12</v>
      </c>
      <c r="B91" s="50">
        <f t="shared" si="2"/>
        <v>-150</v>
      </c>
      <c r="C91" s="20">
        <f>-MAX.!$B$65</f>
        <v>-3453.6541179958822</v>
      </c>
      <c r="D91" s="20">
        <f t="shared" si="3"/>
        <v>-133.45518959999998</v>
      </c>
      <c r="E91" s="20">
        <f t="shared" si="4"/>
        <v>3170.1989283958824</v>
      </c>
    </row>
    <row r="92" spans="1:6">
      <c r="A92" s="52">
        <f t="shared" si="5"/>
        <v>13</v>
      </c>
      <c r="B92" s="50">
        <f t="shared" si="2"/>
        <v>-150</v>
      </c>
      <c r="C92" s="20">
        <f>-MAX.!$B$65</f>
        <v>-3453.6541179958822</v>
      </c>
      <c r="D92" s="20">
        <f t="shared" si="3"/>
        <v>-133.45518959999998</v>
      </c>
      <c r="E92" s="20">
        <f t="shared" si="4"/>
        <v>3170.1989283958824</v>
      </c>
    </row>
    <row r="93" spans="1:6">
      <c r="A93" s="52">
        <f t="shared" si="5"/>
        <v>14</v>
      </c>
      <c r="B93" s="50">
        <f t="shared" si="2"/>
        <v>-150</v>
      </c>
      <c r="C93" s="20">
        <f>-MAX.!$B$65</f>
        <v>-3453.6541179958822</v>
      </c>
      <c r="D93" s="20">
        <f t="shared" si="3"/>
        <v>-133.45518959999998</v>
      </c>
      <c r="E93" s="20">
        <f t="shared" si="4"/>
        <v>3170.1989283958824</v>
      </c>
    </row>
    <row r="94" spans="1:6">
      <c r="A94" s="52">
        <f t="shared" si="5"/>
        <v>15</v>
      </c>
      <c r="B94" s="50">
        <f t="shared" si="2"/>
        <v>-150</v>
      </c>
      <c r="C94" s="20">
        <f>-MAX.!$B$65</f>
        <v>-3453.6541179958822</v>
      </c>
      <c r="D94" s="20">
        <f t="shared" si="3"/>
        <v>-133.45518959999998</v>
      </c>
      <c r="E94" s="20">
        <f t="shared" si="4"/>
        <v>3170.1989283958824</v>
      </c>
    </row>
    <row r="95" spans="1:6">
      <c r="A95" s="52">
        <f t="shared" si="5"/>
        <v>16</v>
      </c>
      <c r="B95" s="50">
        <f t="shared" si="2"/>
        <v>-150</v>
      </c>
      <c r="C95" s="20">
        <f>-MAX.!$B$65</f>
        <v>-3453.6541179958822</v>
      </c>
      <c r="D95" s="20">
        <f t="shared" si="3"/>
        <v>-133.45518959999998</v>
      </c>
      <c r="E95" s="20">
        <f t="shared" si="4"/>
        <v>3170.1989283958824</v>
      </c>
    </row>
    <row r="96" spans="1:6">
      <c r="A96" s="52">
        <f t="shared" si="5"/>
        <v>17</v>
      </c>
      <c r="B96" s="50">
        <f t="shared" si="2"/>
        <v>-150</v>
      </c>
      <c r="C96" s="20">
        <f>-MAX.!$B$65</f>
        <v>-3453.6541179958822</v>
      </c>
      <c r="D96" s="20">
        <f t="shared" si="3"/>
        <v>-133.45518959999998</v>
      </c>
      <c r="E96" s="20">
        <f t="shared" si="4"/>
        <v>3170.1989283958824</v>
      </c>
    </row>
    <row r="97" spans="1:7">
      <c r="A97" s="52">
        <f t="shared" si="5"/>
        <v>18</v>
      </c>
      <c r="B97" s="50">
        <f t="shared" si="2"/>
        <v>-150</v>
      </c>
      <c r="C97" s="20">
        <f>-MAX.!$B$65</f>
        <v>-3453.6541179958822</v>
      </c>
      <c r="D97" s="20">
        <f t="shared" si="3"/>
        <v>-133.45518959999998</v>
      </c>
      <c r="E97" s="20">
        <f t="shared" si="4"/>
        <v>3170.1989283958824</v>
      </c>
    </row>
    <row r="98" spans="1:7">
      <c r="A98" s="52">
        <f t="shared" si="5"/>
        <v>19</v>
      </c>
      <c r="B98" s="50">
        <f t="shared" si="2"/>
        <v>-150</v>
      </c>
      <c r="C98" s="20">
        <f>-MAX.!$B$65</f>
        <v>-3453.6541179958822</v>
      </c>
      <c r="D98" s="20">
        <f t="shared" si="3"/>
        <v>-133.45518959999998</v>
      </c>
      <c r="E98" s="20">
        <f t="shared" si="4"/>
        <v>3170.1989283958824</v>
      </c>
    </row>
    <row r="99" spans="1:7">
      <c r="A99" s="52">
        <f t="shared" si="5"/>
        <v>20</v>
      </c>
      <c r="B99" s="50">
        <f t="shared" si="2"/>
        <v>-150</v>
      </c>
      <c r="C99" s="20">
        <f>-MAX.!$B$65</f>
        <v>-3453.6541179958822</v>
      </c>
      <c r="D99" s="20">
        <f t="shared" si="3"/>
        <v>-133.45518959999998</v>
      </c>
      <c r="E99" s="20">
        <f t="shared" si="4"/>
        <v>3170.1989283958824</v>
      </c>
    </row>
    <row r="100" spans="1:7">
      <c r="A100" s="53"/>
      <c r="B100" s="10">
        <f>SUM(B79:B89)</f>
        <v>-11306.4</v>
      </c>
      <c r="C100" s="20">
        <f>SUM(C80:C99)</f>
        <v>-69073.082359917622</v>
      </c>
      <c r="D100" s="20">
        <f>SUM(D79:D99)</f>
        <v>-2669.1037919999994</v>
      </c>
      <c r="E100" s="20">
        <f>SUM(E79:E99)</f>
        <v>53597.578567917655</v>
      </c>
    </row>
    <row r="101" spans="1:7">
      <c r="A101" s="2" t="s">
        <v>224</v>
      </c>
      <c r="B101" s="25">
        <f>E100</f>
        <v>53597.578567917655</v>
      </c>
      <c r="C101" s="2" t="s">
        <v>145</v>
      </c>
    </row>
    <row r="102" spans="1:7">
      <c r="B102" s="25"/>
    </row>
    <row r="103" spans="1:7">
      <c r="A103" s="1" t="s">
        <v>161</v>
      </c>
      <c r="B103" s="25"/>
    </row>
    <row r="104" spans="1:7">
      <c r="A104" s="2" t="s">
        <v>156</v>
      </c>
      <c r="B104" s="25">
        <f>-B64+MAX.!B63</f>
        <v>33201.989283958821</v>
      </c>
      <c r="C104" s="2" t="s">
        <v>78</v>
      </c>
    </row>
    <row r="105" spans="1:7">
      <c r="A105" s="2" t="s">
        <v>184</v>
      </c>
      <c r="B105" s="2">
        <v>11630</v>
      </c>
      <c r="C105" s="2" t="s">
        <v>78</v>
      </c>
    </row>
    <row r="106" spans="1:7">
      <c r="A106" s="2" t="s">
        <v>225</v>
      </c>
      <c r="B106" s="11">
        <f>B104/B105</f>
        <v>2.8548572041237161</v>
      </c>
      <c r="C106" s="11">
        <f>B106/0.82*1000</f>
        <v>3481.53317576063</v>
      </c>
      <c r="D106" s="2" t="s">
        <v>155</v>
      </c>
      <c r="G106"/>
    </row>
    <row r="107" spans="1:7">
      <c r="B107" s="11"/>
      <c r="C107" s="11"/>
    </row>
    <row r="108" spans="1:7">
      <c r="A108" s="2" t="s">
        <v>159</v>
      </c>
      <c r="B108" s="2">
        <v>0.255</v>
      </c>
      <c r="C108" s="2" t="s">
        <v>157</v>
      </c>
    </row>
    <row r="109" spans="1:7">
      <c r="A109" s="2" t="s">
        <v>226</v>
      </c>
      <c r="B109" s="7">
        <f>B108*B104/1000</f>
        <v>8.466507267409499</v>
      </c>
      <c r="C109" s="2" t="s">
        <v>160</v>
      </c>
    </row>
    <row r="112" spans="1:7">
      <c r="A112" s="1" t="s">
        <v>238</v>
      </c>
    </row>
    <row r="113" spans="1:5">
      <c r="A113" s="2" t="s">
        <v>289</v>
      </c>
      <c r="B113" s="2">
        <f>H23</f>
        <v>830.8</v>
      </c>
      <c r="C113" s="2" t="s">
        <v>228</v>
      </c>
    </row>
    <row r="114" spans="1:5">
      <c r="A114" s="2" t="s">
        <v>237</v>
      </c>
      <c r="B114" s="2">
        <v>17</v>
      </c>
      <c r="C114" s="2" t="s">
        <v>273</v>
      </c>
    </row>
    <row r="115" spans="1:5">
      <c r="A115" s="2" t="s">
        <v>254</v>
      </c>
      <c r="B115" s="2">
        <v>20</v>
      </c>
      <c r="C115" s="2" t="s">
        <v>28</v>
      </c>
    </row>
    <row r="116" spans="1:5">
      <c r="A116" s="2" t="s">
        <v>290</v>
      </c>
      <c r="B116" s="2">
        <f>3600</f>
        <v>3600</v>
      </c>
      <c r="C116" s="2" t="s">
        <v>229</v>
      </c>
    </row>
    <row r="117" spans="1:5">
      <c r="A117" s="2" t="s">
        <v>235</v>
      </c>
      <c r="B117" s="12">
        <f>1.2*B113/B116</f>
        <v>0.27693333333333331</v>
      </c>
      <c r="C117" s="2" t="s">
        <v>64</v>
      </c>
      <c r="D117" s="2">
        <f>B117/1.2*3600</f>
        <v>830.8</v>
      </c>
      <c r="E117" s="2" t="s">
        <v>65</v>
      </c>
    </row>
    <row r="118" spans="1:5">
      <c r="A118" s="2" t="s">
        <v>242</v>
      </c>
      <c r="B118" s="25">
        <f>1006*B117*(B115-B114)</f>
        <v>835.7847999999999</v>
      </c>
      <c r="C118" s="2" t="s">
        <v>240</v>
      </c>
    </row>
    <row r="119" spans="1:5">
      <c r="A119" s="2" t="s">
        <v>291</v>
      </c>
      <c r="B119" s="25">
        <v>4107</v>
      </c>
      <c r="C119" s="2" t="s">
        <v>250</v>
      </c>
    </row>
    <row r="120" spans="1:5">
      <c r="A120" s="24" t="s">
        <v>258</v>
      </c>
      <c r="B120" s="45">
        <f>B119+B118</f>
        <v>4942.7847999999994</v>
      </c>
      <c r="C120" s="24" t="s">
        <v>39</v>
      </c>
    </row>
    <row r="121" spans="1:5">
      <c r="A121" s="2" t="s">
        <v>253</v>
      </c>
      <c r="B121" s="7">
        <v>0.8</v>
      </c>
    </row>
    <row r="122" spans="1:5">
      <c r="A122" s="24" t="s">
        <v>292</v>
      </c>
      <c r="B122" s="45">
        <f>(B118+B119)/B121</f>
        <v>6178.4809999999989</v>
      </c>
      <c r="C122" s="24" t="s">
        <v>244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1"/>
  <sheetViews>
    <sheetView topLeftCell="A79" zoomScaleNormal="100" workbookViewId="0">
      <selection activeCell="A69" sqref="A69:C72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199</v>
      </c>
    </row>
    <row r="5" spans="1:18">
      <c r="A5" s="2" t="s">
        <v>49</v>
      </c>
      <c r="B5" s="2">
        <f>183-6*4-15</f>
        <v>144</v>
      </c>
      <c r="C5" s="2" t="s">
        <v>200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138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14.5" customHeight="1">
      <c r="G18" s="2" t="s">
        <v>227</v>
      </c>
      <c r="H18" s="2">
        <f>H17*5</f>
        <v>830.8</v>
      </c>
      <c r="I18" s="2" t="s">
        <v>228</v>
      </c>
    </row>
    <row r="19" spans="1:18">
      <c r="A19" s="1" t="s">
        <v>55</v>
      </c>
    </row>
    <row r="20" spans="1:18">
      <c r="A20" s="27" t="s">
        <v>222</v>
      </c>
    </row>
    <row r="21" spans="1:18">
      <c r="A21" s="27" t="s">
        <v>178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1.25</v>
      </c>
      <c r="F23" s="3">
        <v>1</v>
      </c>
      <c r="G23" s="20">
        <f t="shared" ref="G23:G29" si="0">B23*C23*D23*E23*F23</f>
        <v>1188.85298067132</v>
      </c>
    </row>
    <row r="24" spans="1:18">
      <c r="A24" s="3" t="s">
        <v>194</v>
      </c>
      <c r="B24" s="14">
        <f>E13</f>
        <v>41.875</v>
      </c>
      <c r="C24" s="3">
        <f>20-$B$7</f>
        <v>14.5</v>
      </c>
      <c r="D24" s="14">
        <f>Trasmittanze!$F$10</f>
        <v>0.72649572649572647</v>
      </c>
      <c r="E24" s="3">
        <v>1.25</v>
      </c>
      <c r="F24" s="3">
        <v>1.2</v>
      </c>
      <c r="G24" s="20">
        <f t="shared" si="0"/>
        <v>661.67868589743591</v>
      </c>
    </row>
    <row r="25" spans="1:18">
      <c r="A25" s="3" t="s">
        <v>195</v>
      </c>
      <c r="B25" s="3">
        <v>0</v>
      </c>
      <c r="C25" s="3">
        <f t="shared" ref="C25:C29" si="1">20-$B$7</f>
        <v>14.5</v>
      </c>
      <c r="D25" s="14">
        <f>Trasmittanze!I26</f>
        <v>1.006711409395973</v>
      </c>
      <c r="E25" s="3">
        <v>1.25</v>
      </c>
      <c r="F25" s="3">
        <v>1.2</v>
      </c>
      <c r="G25" s="20">
        <f t="shared" si="0"/>
        <v>0</v>
      </c>
    </row>
    <row r="26" spans="1:18">
      <c r="A26" s="3" t="s">
        <v>196</v>
      </c>
      <c r="B26" s="3">
        <f>H13</f>
        <v>4.2</v>
      </c>
      <c r="C26" s="3">
        <f t="shared" si="1"/>
        <v>14.5</v>
      </c>
      <c r="D26" s="14">
        <f>Trasmittanze!$F$10</f>
        <v>0.72649572649572647</v>
      </c>
      <c r="E26" s="3">
        <v>1.25</v>
      </c>
      <c r="F26" s="3">
        <v>1</v>
      </c>
      <c r="G26" s="20">
        <f t="shared" si="0"/>
        <v>55.304487179487182</v>
      </c>
    </row>
    <row r="27" spans="1:18">
      <c r="A27" s="3" t="s">
        <v>197</v>
      </c>
      <c r="B27" s="3">
        <v>0</v>
      </c>
      <c r="C27" s="3">
        <f t="shared" si="1"/>
        <v>14.5</v>
      </c>
      <c r="D27" s="14">
        <f>Trasmittanze!I26</f>
        <v>1.006711409395973</v>
      </c>
      <c r="E27" s="3">
        <v>1.25</v>
      </c>
      <c r="F27" s="3">
        <v>1</v>
      </c>
      <c r="G27" s="20">
        <f t="shared" si="0"/>
        <v>0</v>
      </c>
    </row>
    <row r="28" spans="1:18">
      <c r="A28" s="3" t="s">
        <v>209</v>
      </c>
      <c r="B28" s="15">
        <f>H17</f>
        <v>166.16</v>
      </c>
      <c r="C28" s="3">
        <f t="shared" si="1"/>
        <v>14.5</v>
      </c>
      <c r="D28" s="14">
        <f>Trasmittanze!M22</f>
        <v>0.22282503390815731</v>
      </c>
      <c r="E28" s="3">
        <v>1.25</v>
      </c>
      <c r="F28" s="3">
        <v>1</v>
      </c>
      <c r="G28" s="20">
        <f t="shared" si="0"/>
        <v>671.071013369502</v>
      </c>
    </row>
    <row r="29" spans="1:18">
      <c r="A29" s="3" t="s">
        <v>38</v>
      </c>
      <c r="B29" s="15">
        <v>0</v>
      </c>
      <c r="C29" s="3">
        <f t="shared" si="1"/>
        <v>14.5</v>
      </c>
      <c r="D29" s="14">
        <f>Trasmittanze!I26</f>
        <v>1.006711409395973</v>
      </c>
      <c r="E29" s="3">
        <v>1.25</v>
      </c>
      <c r="F29" s="3">
        <v>1</v>
      </c>
      <c r="G29" s="20">
        <f t="shared" si="0"/>
        <v>0</v>
      </c>
    </row>
    <row r="30" spans="1:18">
      <c r="F30" s="2" t="s">
        <v>40</v>
      </c>
      <c r="G30" s="25">
        <f>-SUM(G23:G29)</f>
        <v>-2576.9071671177453</v>
      </c>
      <c r="H30" s="2" t="s">
        <v>39</v>
      </c>
    </row>
    <row r="31" spans="1:18">
      <c r="A31" s="1" t="s">
        <v>172</v>
      </c>
    </row>
    <row r="32" spans="1:18">
      <c r="A32" s="2" t="s">
        <v>41</v>
      </c>
      <c r="B32" s="2">
        <v>24</v>
      </c>
      <c r="C32" s="23" t="s">
        <v>185</v>
      </c>
    </row>
    <row r="33" spans="1:5">
      <c r="A33" s="2" t="s">
        <v>190</v>
      </c>
      <c r="B33" s="31">
        <v>0.7</v>
      </c>
      <c r="C33" s="2" t="s">
        <v>191</v>
      </c>
    </row>
    <row r="34" spans="1:5">
      <c r="A34" s="2" t="s">
        <v>59</v>
      </c>
      <c r="B34" s="2">
        <f>20*35*B33</f>
        <v>489.99999999999994</v>
      </c>
      <c r="C34" s="2" t="s">
        <v>39</v>
      </c>
    </row>
    <row r="35" spans="1:5">
      <c r="A35" s="2" t="s">
        <v>202</v>
      </c>
      <c r="B35" s="2">
        <f>250*B32*B33*0.5</f>
        <v>2100</v>
      </c>
      <c r="C35" s="2" t="s">
        <v>201</v>
      </c>
    </row>
    <row r="37" spans="1:5">
      <c r="A37" s="1" t="s">
        <v>60</v>
      </c>
    </row>
    <row r="38" spans="1:5">
      <c r="A38" s="2" t="s">
        <v>190</v>
      </c>
      <c r="B38" s="31">
        <v>0.7</v>
      </c>
      <c r="C38" s="2" t="s">
        <v>191</v>
      </c>
    </row>
    <row r="39" spans="1:5">
      <c r="A39" s="2" t="s">
        <v>169</v>
      </c>
      <c r="B39" s="2">
        <f>70*B32*B38</f>
        <v>1176</v>
      </c>
      <c r="C39" s="2" t="s">
        <v>42</v>
      </c>
    </row>
    <row r="40" spans="1:5">
      <c r="A40" s="2" t="s">
        <v>170</v>
      </c>
      <c r="B40" s="2">
        <f>B32*45*B38</f>
        <v>756</v>
      </c>
      <c r="C40" s="2" t="s">
        <v>43</v>
      </c>
    </row>
    <row r="42" spans="1:5">
      <c r="A42" s="1" t="s">
        <v>246</v>
      </c>
    </row>
    <row r="43" spans="1:5">
      <c r="A43" s="19" t="s">
        <v>66</v>
      </c>
      <c r="B43" s="2">
        <f>B23*5</f>
        <v>830.8</v>
      </c>
      <c r="C43" s="2" t="s">
        <v>249</v>
      </c>
    </row>
    <row r="44" spans="1:5">
      <c r="A44" s="2" t="s">
        <v>61</v>
      </c>
      <c r="B44" s="2">
        <f>7</f>
        <v>7</v>
      </c>
      <c r="C44" s="2" t="s">
        <v>62</v>
      </c>
    </row>
    <row r="45" spans="1:5">
      <c r="A45" s="2" t="s">
        <v>63</v>
      </c>
      <c r="B45" s="2">
        <f>B44*B32</f>
        <v>168</v>
      </c>
      <c r="C45" s="2" t="s">
        <v>62</v>
      </c>
      <c r="D45" s="2">
        <f>1.2*B45/1000</f>
        <v>0.2016</v>
      </c>
      <c r="E45" s="2" t="s">
        <v>64</v>
      </c>
    </row>
    <row r="46" spans="1:5">
      <c r="A46" s="2" t="s">
        <v>140</v>
      </c>
    </row>
    <row r="47" spans="1:5">
      <c r="A47" s="2" t="s">
        <v>82</v>
      </c>
      <c r="B47" s="7">
        <f>(D45/1.2*3600)/B43</f>
        <v>0.72797303803562841</v>
      </c>
      <c r="C47" s="2" t="s">
        <v>73</v>
      </c>
    </row>
    <row r="48" spans="1:5">
      <c r="A48" s="2" t="s">
        <v>74</v>
      </c>
      <c r="B48" s="25">
        <f>-D45*1006 * (20-$B$7)</f>
        <v>-2940.7392</v>
      </c>
      <c r="C48" s="2" t="s">
        <v>75</v>
      </c>
    </row>
    <row r="49" spans="1:6">
      <c r="A49" s="2" t="s">
        <v>245</v>
      </c>
      <c r="B49" s="25">
        <f>B48*(1-0.9)</f>
        <v>-294.07391999999993</v>
      </c>
      <c r="C49" s="2" t="s">
        <v>75</v>
      </c>
    </row>
    <row r="50" spans="1:6">
      <c r="A50" s="2" t="s">
        <v>262</v>
      </c>
      <c r="B50" s="25">
        <v>150</v>
      </c>
      <c r="C50" s="2" t="s">
        <v>81</v>
      </c>
    </row>
    <row r="51" spans="1:6">
      <c r="B51" s="25"/>
    </row>
    <row r="52" spans="1:6">
      <c r="A52" s="1" t="s">
        <v>83</v>
      </c>
    </row>
    <row r="53" spans="1:6">
      <c r="A53" s="2" t="s">
        <v>129</v>
      </c>
      <c r="B53" s="25">
        <f>G30+B34+B35+B39+B49</f>
        <v>895.01891288225477</v>
      </c>
      <c r="C53" s="2" t="s">
        <v>75</v>
      </c>
    </row>
    <row r="54" spans="1:6">
      <c r="A54" s="2" t="s">
        <v>76</v>
      </c>
      <c r="B54" s="2">
        <f>B40</f>
        <v>756</v>
      </c>
      <c r="C54" s="2" t="s">
        <v>75</v>
      </c>
      <c r="D54" s="2" t="s">
        <v>203</v>
      </c>
      <c r="F54" s="7"/>
    </row>
    <row r="55" spans="1:6">
      <c r="A55" s="24" t="s">
        <v>120</v>
      </c>
      <c r="B55" s="45">
        <f>B53+B54</f>
        <v>1651.0189128822549</v>
      </c>
      <c r="C55" s="24" t="s">
        <v>75</v>
      </c>
      <c r="D55" s="11" t="s">
        <v>230</v>
      </c>
      <c r="F55" s="7"/>
    </row>
    <row r="56" spans="1:6">
      <c r="B56" s="7"/>
      <c r="D56" s="2" t="s">
        <v>231</v>
      </c>
      <c r="F56" s="7"/>
    </row>
    <row r="57" spans="1:6">
      <c r="D57" s="2" t="s">
        <v>232</v>
      </c>
    </row>
    <row r="59" spans="1:6">
      <c r="A59" s="1" t="s">
        <v>251</v>
      </c>
    </row>
    <row r="60" spans="1:6">
      <c r="A60" s="2" t="s">
        <v>259</v>
      </c>
      <c r="B60" s="25">
        <f>B121</f>
        <v>1157.8894035087721</v>
      </c>
      <c r="C60" s="2" t="s">
        <v>248</v>
      </c>
    </row>
    <row r="61" spans="1:6">
      <c r="A61" s="2" t="s">
        <v>77</v>
      </c>
      <c r="B61" s="2">
        <v>2</v>
      </c>
      <c r="C61" s="2" t="s">
        <v>252</v>
      </c>
    </row>
    <row r="62" spans="1:6">
      <c r="A62" s="21" t="s">
        <v>127</v>
      </c>
      <c r="B62" s="21">
        <f>$B$5*(B60/1000)*$B$61</f>
        <v>333.47214821052637</v>
      </c>
      <c r="C62" s="21" t="s">
        <v>78</v>
      </c>
    </row>
    <row r="63" spans="1:6">
      <c r="A63" s="2" t="s">
        <v>260</v>
      </c>
      <c r="B63" s="2">
        <v>0.22</v>
      </c>
      <c r="C63" s="2" t="s">
        <v>79</v>
      </c>
    </row>
    <row r="64" spans="1:6">
      <c r="A64" s="24" t="s">
        <v>80</v>
      </c>
      <c r="B64" s="49">
        <f>B62*B63</f>
        <v>73.363872606315809</v>
      </c>
      <c r="C64" s="24" t="s">
        <v>81</v>
      </c>
    </row>
    <row r="66" spans="1:8">
      <c r="A66" s="21" t="s">
        <v>92</v>
      </c>
      <c r="B66" s="21">
        <f>MAX.!B65-B64</f>
        <v>3380.2902453895663</v>
      </c>
      <c r="C66" s="21" t="s">
        <v>81</v>
      </c>
    </row>
    <row r="68" spans="1:8">
      <c r="A68" s="1" t="s">
        <v>141</v>
      </c>
    </row>
    <row r="69" spans="1:8">
      <c r="A69" s="2" t="s">
        <v>236</v>
      </c>
      <c r="B69" s="2">
        <v>6000</v>
      </c>
      <c r="C69" s="2" t="s">
        <v>145</v>
      </c>
    </row>
    <row r="70" spans="1:8">
      <c r="A70" s="2" t="s">
        <v>211</v>
      </c>
      <c r="B70" s="25">
        <f>40*H17</f>
        <v>6646.4</v>
      </c>
      <c r="C70" s="2" t="s">
        <v>145</v>
      </c>
    </row>
    <row r="71" spans="1:8">
      <c r="A71" s="2" t="s">
        <v>261</v>
      </c>
      <c r="B71" s="25">
        <v>1500</v>
      </c>
      <c r="C71" s="2" t="s">
        <v>145</v>
      </c>
    </row>
    <row r="72" spans="1:8">
      <c r="A72" s="28" t="s">
        <v>144</v>
      </c>
      <c r="B72" s="2">
        <f>SUM(B69:B71)</f>
        <v>14146.4</v>
      </c>
      <c r="C72" s="2" t="s">
        <v>145</v>
      </c>
    </row>
    <row r="74" spans="1:8">
      <c r="A74" s="21" t="s">
        <v>146</v>
      </c>
      <c r="B74" s="29">
        <f>B72/B66</f>
        <v>4.1849660748199087</v>
      </c>
      <c r="C74" s="24" t="s">
        <v>147</v>
      </c>
    </row>
    <row r="76" spans="1:8">
      <c r="A76" s="30" t="s">
        <v>148</v>
      </c>
      <c r="B76" s="16" t="s">
        <v>153</v>
      </c>
      <c r="C76" s="16" t="s">
        <v>151</v>
      </c>
      <c r="D76" s="16" t="s">
        <v>152</v>
      </c>
      <c r="E76" s="16" t="s">
        <v>149</v>
      </c>
    </row>
    <row r="77" spans="1:8">
      <c r="A77" s="54">
        <v>0</v>
      </c>
      <c r="B77" s="10">
        <f>-$B$72</f>
        <v>-14146.4</v>
      </c>
      <c r="C77" s="3"/>
      <c r="D77" s="20"/>
      <c r="E77" s="20">
        <f>B77</f>
        <v>-14146.4</v>
      </c>
    </row>
    <row r="78" spans="1:8">
      <c r="A78" s="52">
        <v>1</v>
      </c>
      <c r="B78" s="50">
        <f>-$B$50</f>
        <v>-150</v>
      </c>
      <c r="C78" s="20">
        <f>-MAX.!$B$65</f>
        <v>-3453.6541179958822</v>
      </c>
      <c r="D78" s="20">
        <f>-$B$64</f>
        <v>-73.363872606315809</v>
      </c>
      <c r="E78" s="20">
        <f>D78-C78+B78</f>
        <v>3230.2902453895663</v>
      </c>
      <c r="F78" s="27"/>
      <c r="G78" s="27"/>
      <c r="H78" s="27"/>
    </row>
    <row r="79" spans="1:8">
      <c r="A79" s="52">
        <f>A78+1</f>
        <v>2</v>
      </c>
      <c r="B79" s="50">
        <f t="shared" ref="B79:B97" si="2">-$B$50</f>
        <v>-150</v>
      </c>
      <c r="C79" s="20">
        <f>-MAX.!$B$65</f>
        <v>-3453.6541179958822</v>
      </c>
      <c r="D79" s="20">
        <f t="shared" ref="D79:D97" si="3">-$B$64</f>
        <v>-73.363872606315809</v>
      </c>
      <c r="E79" s="20">
        <f t="shared" ref="E79:E97" si="4">D79-C79+B79</f>
        <v>3230.2902453895663</v>
      </c>
      <c r="F79" s="27"/>
    </row>
    <row r="80" spans="1:8">
      <c r="A80" s="52">
        <f t="shared" ref="A80:A97" si="5">A79+1</f>
        <v>3</v>
      </c>
      <c r="B80" s="50">
        <f t="shared" si="2"/>
        <v>-150</v>
      </c>
      <c r="C80" s="20">
        <f>-MAX.!$B$65</f>
        <v>-3453.6541179958822</v>
      </c>
      <c r="D80" s="20">
        <f t="shared" si="3"/>
        <v>-73.363872606315809</v>
      </c>
      <c r="E80" s="20">
        <f t="shared" si="4"/>
        <v>3230.2902453895663</v>
      </c>
    </row>
    <row r="81" spans="1:5">
      <c r="A81" s="52">
        <f t="shared" si="5"/>
        <v>4</v>
      </c>
      <c r="B81" s="50">
        <f t="shared" si="2"/>
        <v>-150</v>
      </c>
      <c r="C81" s="20">
        <f>-MAX.!$B$65</f>
        <v>-3453.6541179958822</v>
      </c>
      <c r="D81" s="20">
        <f t="shared" si="3"/>
        <v>-73.363872606315809</v>
      </c>
      <c r="E81" s="20">
        <f t="shared" si="4"/>
        <v>3230.2902453895663</v>
      </c>
    </row>
    <row r="82" spans="1:5">
      <c r="A82" s="52">
        <f t="shared" si="5"/>
        <v>5</v>
      </c>
      <c r="B82" s="50">
        <f t="shared" si="2"/>
        <v>-150</v>
      </c>
      <c r="C82" s="20">
        <f>-MAX.!$B$65</f>
        <v>-3453.6541179958822</v>
      </c>
      <c r="D82" s="20">
        <f t="shared" si="3"/>
        <v>-73.363872606315809</v>
      </c>
      <c r="E82" s="20">
        <f t="shared" si="4"/>
        <v>3230.2902453895663</v>
      </c>
    </row>
    <row r="83" spans="1:5">
      <c r="A83" s="52">
        <f t="shared" si="5"/>
        <v>6</v>
      </c>
      <c r="B83" s="50">
        <f t="shared" si="2"/>
        <v>-150</v>
      </c>
      <c r="C83" s="20">
        <f>-MAX.!$B$65</f>
        <v>-3453.6541179958822</v>
      </c>
      <c r="D83" s="20">
        <f t="shared" si="3"/>
        <v>-73.363872606315809</v>
      </c>
      <c r="E83" s="20">
        <f t="shared" si="4"/>
        <v>3230.2902453895663</v>
      </c>
    </row>
    <row r="84" spans="1:5">
      <c r="A84" s="52">
        <f t="shared" si="5"/>
        <v>7</v>
      </c>
      <c r="B84" s="50">
        <f t="shared" si="2"/>
        <v>-150</v>
      </c>
      <c r="C84" s="20">
        <f>-MAX.!$B$65</f>
        <v>-3453.6541179958822</v>
      </c>
      <c r="D84" s="20">
        <f t="shared" si="3"/>
        <v>-73.363872606315809</v>
      </c>
      <c r="E84" s="20">
        <f t="shared" si="4"/>
        <v>3230.2902453895663</v>
      </c>
    </row>
    <row r="85" spans="1:5">
      <c r="A85" s="52">
        <f t="shared" si="5"/>
        <v>8</v>
      </c>
      <c r="B85" s="50">
        <f t="shared" si="2"/>
        <v>-150</v>
      </c>
      <c r="C85" s="20">
        <f>-MAX.!$B$65</f>
        <v>-3453.6541179958822</v>
      </c>
      <c r="D85" s="20">
        <f t="shared" si="3"/>
        <v>-73.363872606315809</v>
      </c>
      <c r="E85" s="20">
        <f t="shared" si="4"/>
        <v>3230.2902453895663</v>
      </c>
    </row>
    <row r="86" spans="1:5">
      <c r="A86" s="52">
        <f t="shared" si="5"/>
        <v>9</v>
      </c>
      <c r="B86" s="50">
        <f t="shared" si="2"/>
        <v>-150</v>
      </c>
      <c r="C86" s="20">
        <f>-MAX.!$B$65</f>
        <v>-3453.6541179958822</v>
      </c>
      <c r="D86" s="20">
        <f t="shared" si="3"/>
        <v>-73.363872606315809</v>
      </c>
      <c r="E86" s="20">
        <f t="shared" si="4"/>
        <v>3230.2902453895663</v>
      </c>
    </row>
    <row r="87" spans="1:5">
      <c r="A87" s="52">
        <f t="shared" si="5"/>
        <v>10</v>
      </c>
      <c r="B87" s="50">
        <f t="shared" si="2"/>
        <v>-150</v>
      </c>
      <c r="C87" s="20">
        <f>-MAX.!$B$65</f>
        <v>-3453.6541179958822</v>
      </c>
      <c r="D87" s="20">
        <f t="shared" si="3"/>
        <v>-73.363872606315809</v>
      </c>
      <c r="E87" s="20">
        <f t="shared" si="4"/>
        <v>3230.2902453895663</v>
      </c>
    </row>
    <row r="88" spans="1:5">
      <c r="A88" s="52">
        <f t="shared" si="5"/>
        <v>11</v>
      </c>
      <c r="B88" s="50">
        <f t="shared" si="2"/>
        <v>-150</v>
      </c>
      <c r="C88" s="20">
        <f>-MAX.!$B$65</f>
        <v>-3453.6541179958822</v>
      </c>
      <c r="D88" s="20">
        <f t="shared" si="3"/>
        <v>-73.363872606315809</v>
      </c>
      <c r="E88" s="20">
        <f t="shared" si="4"/>
        <v>3230.2902453895663</v>
      </c>
    </row>
    <row r="89" spans="1:5">
      <c r="A89" s="52">
        <f t="shared" si="5"/>
        <v>12</v>
      </c>
      <c r="B89" s="50">
        <f t="shared" si="2"/>
        <v>-150</v>
      </c>
      <c r="C89" s="20">
        <f>-MAX.!$B$65</f>
        <v>-3453.6541179958822</v>
      </c>
      <c r="D89" s="20">
        <f t="shared" si="3"/>
        <v>-73.363872606315809</v>
      </c>
      <c r="E89" s="20">
        <f t="shared" si="4"/>
        <v>3230.2902453895663</v>
      </c>
    </row>
    <row r="90" spans="1:5">
      <c r="A90" s="52">
        <f t="shared" si="5"/>
        <v>13</v>
      </c>
      <c r="B90" s="50">
        <f t="shared" si="2"/>
        <v>-150</v>
      </c>
      <c r="C90" s="20">
        <f>-MAX.!$B$65</f>
        <v>-3453.6541179958822</v>
      </c>
      <c r="D90" s="20">
        <f t="shared" si="3"/>
        <v>-73.363872606315809</v>
      </c>
      <c r="E90" s="20">
        <f t="shared" si="4"/>
        <v>3230.2902453895663</v>
      </c>
    </row>
    <row r="91" spans="1:5">
      <c r="A91" s="52">
        <f t="shared" si="5"/>
        <v>14</v>
      </c>
      <c r="B91" s="50">
        <f t="shared" si="2"/>
        <v>-150</v>
      </c>
      <c r="C91" s="20">
        <f>-MAX.!$B$65</f>
        <v>-3453.6541179958822</v>
      </c>
      <c r="D91" s="20">
        <f t="shared" si="3"/>
        <v>-73.363872606315809</v>
      </c>
      <c r="E91" s="20">
        <f t="shared" si="4"/>
        <v>3230.2902453895663</v>
      </c>
    </row>
    <row r="92" spans="1:5">
      <c r="A92" s="52">
        <f t="shared" si="5"/>
        <v>15</v>
      </c>
      <c r="B92" s="50">
        <f t="shared" si="2"/>
        <v>-150</v>
      </c>
      <c r="C92" s="20">
        <f>-MAX.!$B$65</f>
        <v>-3453.6541179958822</v>
      </c>
      <c r="D92" s="20">
        <f t="shared" si="3"/>
        <v>-73.363872606315809</v>
      </c>
      <c r="E92" s="20">
        <f t="shared" si="4"/>
        <v>3230.2902453895663</v>
      </c>
    </row>
    <row r="93" spans="1:5">
      <c r="A93" s="52">
        <f t="shared" si="5"/>
        <v>16</v>
      </c>
      <c r="B93" s="50">
        <f t="shared" si="2"/>
        <v>-150</v>
      </c>
      <c r="C93" s="20">
        <f>-MAX.!$B$65</f>
        <v>-3453.6541179958822</v>
      </c>
      <c r="D93" s="20">
        <f t="shared" si="3"/>
        <v>-73.363872606315809</v>
      </c>
      <c r="E93" s="20">
        <f t="shared" si="4"/>
        <v>3230.2902453895663</v>
      </c>
    </row>
    <row r="94" spans="1:5">
      <c r="A94" s="52">
        <f t="shared" si="5"/>
        <v>17</v>
      </c>
      <c r="B94" s="50">
        <f t="shared" si="2"/>
        <v>-150</v>
      </c>
      <c r="C94" s="20">
        <f>-MAX.!$B$65</f>
        <v>-3453.6541179958822</v>
      </c>
      <c r="D94" s="20">
        <f t="shared" si="3"/>
        <v>-73.363872606315809</v>
      </c>
      <c r="E94" s="20">
        <f t="shared" si="4"/>
        <v>3230.2902453895663</v>
      </c>
    </row>
    <row r="95" spans="1:5">
      <c r="A95" s="52">
        <f t="shared" si="5"/>
        <v>18</v>
      </c>
      <c r="B95" s="50">
        <f t="shared" si="2"/>
        <v>-150</v>
      </c>
      <c r="C95" s="20">
        <f>-MAX.!$B$65</f>
        <v>-3453.6541179958822</v>
      </c>
      <c r="D95" s="20">
        <f t="shared" si="3"/>
        <v>-73.363872606315809</v>
      </c>
      <c r="E95" s="20">
        <f t="shared" si="4"/>
        <v>3230.2902453895663</v>
      </c>
    </row>
    <row r="96" spans="1:5">
      <c r="A96" s="52">
        <f t="shared" si="5"/>
        <v>19</v>
      </c>
      <c r="B96" s="50">
        <f t="shared" si="2"/>
        <v>-150</v>
      </c>
      <c r="C96" s="20">
        <f>-MAX.!$B$65</f>
        <v>-3453.6541179958822</v>
      </c>
      <c r="D96" s="20">
        <f t="shared" si="3"/>
        <v>-73.363872606315809</v>
      </c>
      <c r="E96" s="20">
        <f t="shared" si="4"/>
        <v>3230.2902453895663</v>
      </c>
    </row>
    <row r="97" spans="1:7">
      <c r="A97" s="52">
        <f t="shared" si="5"/>
        <v>20</v>
      </c>
      <c r="B97" s="50">
        <f t="shared" si="2"/>
        <v>-150</v>
      </c>
      <c r="C97" s="20">
        <f>-MAX.!$B$65</f>
        <v>-3453.6541179958822</v>
      </c>
      <c r="D97" s="20">
        <f t="shared" si="3"/>
        <v>-73.363872606315809</v>
      </c>
      <c r="E97" s="20">
        <f t="shared" si="4"/>
        <v>3230.2902453895663</v>
      </c>
    </row>
    <row r="98" spans="1:7">
      <c r="A98" s="53"/>
      <c r="B98" s="10">
        <f>SUM(B77:B87)</f>
        <v>-15646.4</v>
      </c>
      <c r="C98" s="20">
        <f>SUM(C78:C97)</f>
        <v>-69073.082359917622</v>
      </c>
      <c r="D98" s="20">
        <f>SUM(D77:D97)</f>
        <v>-1467.2774521263168</v>
      </c>
      <c r="E98" s="20">
        <f>SUM(E77:E97)</f>
        <v>50459.404907791322</v>
      </c>
    </row>
    <row r="99" spans="1:7">
      <c r="A99" s="2" t="s">
        <v>224</v>
      </c>
      <c r="B99" s="25">
        <f>E98</f>
        <v>50459.404907791322</v>
      </c>
      <c r="C99" s="2" t="s">
        <v>145</v>
      </c>
    </row>
    <row r="100" spans="1:7">
      <c r="B100" s="25"/>
    </row>
    <row r="101" spans="1:7">
      <c r="A101" s="1" t="s">
        <v>161</v>
      </c>
      <c r="B101" s="25"/>
    </row>
    <row r="102" spans="1:7">
      <c r="A102" s="2" t="s">
        <v>156</v>
      </c>
      <c r="B102" s="25">
        <f>-B62+MAX.!B63</f>
        <v>34203.069031748295</v>
      </c>
      <c r="C102" s="2" t="s">
        <v>78</v>
      </c>
    </row>
    <row r="103" spans="1:7">
      <c r="A103" s="2" t="s">
        <v>184</v>
      </c>
      <c r="B103" s="2">
        <v>11630</v>
      </c>
      <c r="C103" s="2" t="s">
        <v>78</v>
      </c>
    </row>
    <row r="104" spans="1:7">
      <c r="A104" s="2" t="s">
        <v>225</v>
      </c>
      <c r="B104" s="11">
        <f>B102/B103</f>
        <v>2.9409345685080219</v>
      </c>
      <c r="C104" s="11">
        <f>B104/0.82*1000</f>
        <v>3586.5055713512465</v>
      </c>
      <c r="D104" s="2" t="s">
        <v>155</v>
      </c>
      <c r="G104"/>
    </row>
    <row r="105" spans="1:7">
      <c r="B105" s="11"/>
      <c r="C105" s="11"/>
    </row>
    <row r="106" spans="1:7">
      <c r="A106" s="2" t="s">
        <v>159</v>
      </c>
      <c r="B106" s="2">
        <v>0.255</v>
      </c>
      <c r="C106" s="2" t="s">
        <v>157</v>
      </c>
    </row>
    <row r="107" spans="1:7">
      <c r="A107" s="2" t="s">
        <v>226</v>
      </c>
      <c r="B107" s="7">
        <f>B106*B102/1000</f>
        <v>8.7217826030958143</v>
      </c>
      <c r="C107" s="2" t="s">
        <v>160</v>
      </c>
    </row>
    <row r="110" spans="1:7">
      <c r="A110" s="1" t="s">
        <v>238</v>
      </c>
    </row>
    <row r="111" spans="1:7">
      <c r="A111" s="2" t="s">
        <v>233</v>
      </c>
      <c r="B111" s="2">
        <f>H18</f>
        <v>830.8</v>
      </c>
      <c r="C111" s="2" t="s">
        <v>228</v>
      </c>
    </row>
    <row r="112" spans="1:7">
      <c r="A112" s="2" t="s">
        <v>237</v>
      </c>
      <c r="B112" s="2">
        <v>15</v>
      </c>
      <c r="C112" s="2" t="s">
        <v>241</v>
      </c>
    </row>
    <row r="113" spans="1:5">
      <c r="A113" s="2" t="s">
        <v>254</v>
      </c>
      <c r="B113" s="2">
        <v>20</v>
      </c>
      <c r="C113" s="2" t="s">
        <v>28</v>
      </c>
    </row>
    <row r="114" spans="1:5">
      <c r="A114" s="2" t="s">
        <v>234</v>
      </c>
      <c r="B114" s="2">
        <f>3600</f>
        <v>3600</v>
      </c>
      <c r="C114" s="2" t="s">
        <v>229</v>
      </c>
    </row>
    <row r="115" spans="1:5">
      <c r="A115" s="2" t="s">
        <v>235</v>
      </c>
      <c r="B115" s="12">
        <f>1.2*B111/B114</f>
        <v>0.27693333333333331</v>
      </c>
      <c r="C115" s="2" t="s">
        <v>64</v>
      </c>
      <c r="D115" s="2">
        <f>B115/1.2*3600</f>
        <v>830.8</v>
      </c>
      <c r="E115" s="2" t="s">
        <v>65</v>
      </c>
    </row>
    <row r="116" spans="1:5">
      <c r="A116" s="2" t="s">
        <v>242</v>
      </c>
      <c r="B116" s="25">
        <f>1006*B115*(B113-B112)</f>
        <v>1392.9746666666665</v>
      </c>
      <c r="C116" s="2" t="s">
        <v>240</v>
      </c>
    </row>
    <row r="117" spans="1:5">
      <c r="A117" s="2" t="s">
        <v>239</v>
      </c>
      <c r="B117" s="25">
        <v>4107</v>
      </c>
      <c r="C117" s="2" t="s">
        <v>250</v>
      </c>
    </row>
    <row r="118" spans="1:5">
      <c r="A118" s="2" t="s">
        <v>243</v>
      </c>
      <c r="B118" s="25">
        <f>(B116+B117)</f>
        <v>5499.974666666667</v>
      </c>
      <c r="C118" s="2" t="s">
        <v>39</v>
      </c>
    </row>
    <row r="119" spans="1:5">
      <c r="A119" s="2" t="s">
        <v>255</v>
      </c>
      <c r="B119" s="2">
        <v>5</v>
      </c>
    </row>
    <row r="120" spans="1:5">
      <c r="A120" s="2" t="s">
        <v>257</v>
      </c>
      <c r="B120" s="2">
        <v>0.95</v>
      </c>
    </row>
    <row r="121" spans="1:5">
      <c r="A121" s="2" t="s">
        <v>256</v>
      </c>
      <c r="B121" s="25">
        <f>B118/B119/B120</f>
        <v>1157.8894035087721</v>
      </c>
      <c r="C121" s="2" t="s">
        <v>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11"/>
  <sheetViews>
    <sheetView workbookViewId="0">
      <selection activeCell="A47" sqref="A47:C47"/>
    </sheetView>
  </sheetViews>
  <sheetFormatPr defaultRowHeight="14.5"/>
  <cols>
    <col min="1" max="1" width="25.6328125" style="2" customWidth="1"/>
    <col min="2" max="2" width="8.90625" style="2" customWidth="1"/>
    <col min="3" max="3" width="9.7265625" style="2" customWidth="1"/>
    <col min="4" max="4" width="8.7265625" style="2"/>
    <col min="5" max="5" width="9.7265625" style="2" customWidth="1"/>
    <col min="6" max="6" width="10" style="2" customWidth="1"/>
    <col min="7" max="7" width="9.269531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49</v>
      </c>
      <c r="B3" s="2">
        <v>183</v>
      </c>
      <c r="C3" s="2" t="s">
        <v>52</v>
      </c>
    </row>
    <row r="4" spans="1:18">
      <c r="A4" s="2" t="s">
        <v>50</v>
      </c>
      <c r="B4" s="2">
        <v>-7</v>
      </c>
      <c r="C4" s="2" t="s">
        <v>28</v>
      </c>
    </row>
    <row r="5" spans="1:18">
      <c r="A5" s="2" t="s">
        <v>51</v>
      </c>
      <c r="B5" s="2">
        <v>5.5</v>
      </c>
      <c r="C5" s="2" t="s">
        <v>28</v>
      </c>
    </row>
    <row r="6" spans="1:18">
      <c r="A6" s="2" t="s">
        <v>53</v>
      </c>
      <c r="B6" s="2">
        <v>5.5</v>
      </c>
      <c r="C6" s="2" t="s">
        <v>28</v>
      </c>
    </row>
    <row r="8" spans="1:18">
      <c r="A8" s="1" t="s">
        <v>54</v>
      </c>
    </row>
    <row r="9" spans="1:18">
      <c r="A9" s="1"/>
    </row>
    <row r="10" spans="1:18">
      <c r="A10" s="1" t="s">
        <v>23</v>
      </c>
      <c r="D10" s="1" t="s">
        <v>10</v>
      </c>
      <c r="G10" s="1" t="s">
        <v>11</v>
      </c>
      <c r="R10" s="12"/>
    </row>
    <row r="11" spans="1:18">
      <c r="A11" s="2" t="s">
        <v>5</v>
      </c>
      <c r="B11" s="11">
        <f>8-5.25</f>
        <v>2.75</v>
      </c>
      <c r="C11" s="2" t="s">
        <v>4</v>
      </c>
      <c r="D11" s="2" t="s">
        <v>67</v>
      </c>
      <c r="E11" s="2">
        <v>5</v>
      </c>
      <c r="F11" s="2" t="s">
        <v>214</v>
      </c>
      <c r="G11" s="2" t="s">
        <v>67</v>
      </c>
      <c r="H11" s="2">
        <v>1.5</v>
      </c>
      <c r="I11" s="2" t="s">
        <v>1</v>
      </c>
      <c r="R11" s="12"/>
    </row>
    <row r="12" spans="1:18">
      <c r="A12" s="2" t="s">
        <v>6</v>
      </c>
      <c r="B12" s="11">
        <v>6</v>
      </c>
      <c r="C12" s="2" t="s">
        <v>4</v>
      </c>
      <c r="D12" s="2" t="s">
        <v>68</v>
      </c>
      <c r="E12" s="7">
        <f>E11*B14</f>
        <v>33.5</v>
      </c>
      <c r="F12" s="2" t="s">
        <v>1</v>
      </c>
      <c r="G12" s="2" t="s">
        <v>68</v>
      </c>
      <c r="H12" s="2">
        <f>H11*B14-H13</f>
        <v>4.2</v>
      </c>
      <c r="I12" s="2" t="s">
        <v>1</v>
      </c>
      <c r="R12" s="12"/>
    </row>
    <row r="13" spans="1:18">
      <c r="A13" s="2" t="s">
        <v>7</v>
      </c>
      <c r="B13" s="11">
        <f>(B11^2+B12^2)^0.5</f>
        <v>6.6001893912220426</v>
      </c>
      <c r="C13" s="2" t="s">
        <v>4</v>
      </c>
      <c r="D13" s="2" t="s">
        <v>69</v>
      </c>
      <c r="E13" s="2">
        <f>1.5*(B14-0.2)</f>
        <v>9.75</v>
      </c>
      <c r="F13" s="2" t="s">
        <v>1</v>
      </c>
      <c r="G13" s="2" t="s">
        <v>69</v>
      </c>
      <c r="H13" s="2">
        <f>0.9*(B14-0.2)</f>
        <v>5.8500000000000005</v>
      </c>
      <c r="I13" s="2" t="s">
        <v>1</v>
      </c>
      <c r="R13" s="12"/>
    </row>
    <row r="14" spans="1:18">
      <c r="A14" s="2" t="s">
        <v>8</v>
      </c>
      <c r="B14" s="11">
        <v>6.7</v>
      </c>
      <c r="C14" s="2" t="s">
        <v>4</v>
      </c>
      <c r="R14" s="12"/>
    </row>
    <row r="15" spans="1:18">
      <c r="A15" s="2" t="s">
        <v>0</v>
      </c>
      <c r="B15" s="11">
        <f>4*B13*B14</f>
        <v>176.88507568475075</v>
      </c>
      <c r="C15" s="2" t="s">
        <v>1</v>
      </c>
      <c r="D15" s="1" t="s">
        <v>9</v>
      </c>
      <c r="G15" s="1" t="s">
        <v>2</v>
      </c>
      <c r="H15" s="11"/>
      <c r="R15" s="12"/>
    </row>
    <row r="16" spans="1:18">
      <c r="D16" s="2" t="s">
        <v>70</v>
      </c>
      <c r="E16" s="2">
        <f>6.7*24.8</f>
        <v>166.16</v>
      </c>
      <c r="F16" s="2" t="s">
        <v>1</v>
      </c>
      <c r="G16" s="2" t="s">
        <v>138</v>
      </c>
      <c r="H16" s="11">
        <f>1.5*3*(B14-0.2)</f>
        <v>29.25</v>
      </c>
      <c r="I16" s="2" t="s">
        <v>1</v>
      </c>
    </row>
    <row r="18" spans="1:8">
      <c r="A18" s="1" t="s">
        <v>55</v>
      </c>
    </row>
    <row r="19" spans="1:8">
      <c r="A19" s="27" t="s">
        <v>58</v>
      </c>
    </row>
    <row r="20" spans="1:8">
      <c r="A20" s="27" t="s">
        <v>178</v>
      </c>
    </row>
    <row r="21" spans="1: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8">
      <c r="A22" s="3" t="s">
        <v>31</v>
      </c>
      <c r="B22" s="3">
        <f>E16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8">
      <c r="A23" s="3" t="s">
        <v>33</v>
      </c>
      <c r="B23" s="14">
        <f>E12</f>
        <v>33.5</v>
      </c>
      <c r="C23" s="3">
        <f>20-$B$5</f>
        <v>14.5</v>
      </c>
      <c r="D23" s="14">
        <f>Trasmittanze!F10</f>
        <v>0.72649572649572647</v>
      </c>
      <c r="E23" s="3">
        <v>1.3</v>
      </c>
      <c r="F23" s="3">
        <v>1.1000000000000001</v>
      </c>
      <c r="G23" s="20">
        <f t="shared" si="0"/>
        <v>504.64027777777784</v>
      </c>
    </row>
    <row r="24" spans="1:8">
      <c r="A24" s="3" t="s">
        <v>34</v>
      </c>
      <c r="B24" s="3">
        <v>0</v>
      </c>
      <c r="C24" s="3">
        <f t="shared" ref="C24:C28" si="1">20-$B$5</f>
        <v>14.5</v>
      </c>
      <c r="D24" s="14">
        <f>Trasmittanze!B26</f>
        <v>3.0082987551867215</v>
      </c>
      <c r="E24" s="3">
        <v>1.3</v>
      </c>
      <c r="F24" s="3">
        <v>1.1000000000000001</v>
      </c>
      <c r="G24" s="20">
        <f t="shared" si="0"/>
        <v>0</v>
      </c>
    </row>
    <row r="25" spans="1:8">
      <c r="A25" s="3" t="s">
        <v>35</v>
      </c>
      <c r="B25" s="3">
        <f>H12</f>
        <v>4.2</v>
      </c>
      <c r="C25" s="3">
        <f t="shared" si="1"/>
        <v>14.5</v>
      </c>
      <c r="D25" s="14">
        <f>Trasmittanze!F10</f>
        <v>0.72649572649572647</v>
      </c>
      <c r="E25" s="3">
        <v>1.3</v>
      </c>
      <c r="F25" s="3">
        <v>1.1499999999999999</v>
      </c>
      <c r="G25" s="20">
        <f t="shared" si="0"/>
        <v>66.144166666666663</v>
      </c>
    </row>
    <row r="26" spans="1:8">
      <c r="A26" s="3" t="s">
        <v>36</v>
      </c>
      <c r="B26" s="3">
        <v>0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1.1499999999999999</v>
      </c>
      <c r="G26" s="20">
        <f t="shared" si="0"/>
        <v>0</v>
      </c>
    </row>
    <row r="27" spans="1:8">
      <c r="A27" s="3" t="s">
        <v>37</v>
      </c>
      <c r="B27" s="15">
        <f>B15</f>
        <v>176.88507568475075</v>
      </c>
      <c r="C27" s="3">
        <f t="shared" si="1"/>
        <v>14.5</v>
      </c>
      <c r="D27" s="14">
        <f>Trasmittanze!M22</f>
        <v>0.22282503390815731</v>
      </c>
      <c r="E27" s="3">
        <v>1.3</v>
      </c>
      <c r="F27" s="3">
        <v>1</v>
      </c>
      <c r="G27" s="20">
        <f t="shared" si="0"/>
        <v>742.96187331063436</v>
      </c>
    </row>
    <row r="28" spans="1:8">
      <c r="A28" s="3" t="s">
        <v>38</v>
      </c>
      <c r="B28" s="15">
        <v>0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0</v>
      </c>
    </row>
    <row r="29" spans="1:8">
      <c r="F29" s="2" t="s">
        <v>40</v>
      </c>
      <c r="G29" s="25">
        <f>-SUM(G22:G28)</f>
        <v>-2550.1534176532518</v>
      </c>
      <c r="H29" s="2" t="s">
        <v>39</v>
      </c>
    </row>
    <row r="30" spans="1:8">
      <c r="A30" s="1" t="s">
        <v>172</v>
      </c>
    </row>
    <row r="31" spans="1:8">
      <c r="A31" s="2" t="s">
        <v>41</v>
      </c>
      <c r="B31" s="2">
        <v>24</v>
      </c>
    </row>
    <row r="32" spans="1:8">
      <c r="A32" s="2" t="s">
        <v>180</v>
      </c>
      <c r="B32" s="31">
        <v>0.5</v>
      </c>
    </row>
    <row r="33" spans="1:7">
      <c r="A33" s="2" t="s">
        <v>132</v>
      </c>
      <c r="B33" s="2">
        <f>15*20*B32</f>
        <v>150</v>
      </c>
      <c r="C33" s="2" t="s">
        <v>179</v>
      </c>
    </row>
    <row r="34" spans="1:7">
      <c r="A34" s="2" t="s">
        <v>130</v>
      </c>
      <c r="B34" s="2">
        <f>200*B31*B32</f>
        <v>2400</v>
      </c>
      <c r="C34" s="2" t="s">
        <v>39</v>
      </c>
    </row>
    <row r="36" spans="1:7">
      <c r="A36" s="1" t="s">
        <v>60</v>
      </c>
    </row>
    <row r="37" spans="1:7">
      <c r="A37" s="19" t="s">
        <v>168</v>
      </c>
      <c r="B37" s="31">
        <v>0.7</v>
      </c>
      <c r="C37" s="2" t="s">
        <v>171</v>
      </c>
    </row>
    <row r="38" spans="1:7">
      <c r="A38" s="2" t="s">
        <v>169</v>
      </c>
      <c r="B38" s="2">
        <f>70*B31*B37</f>
        <v>1176</v>
      </c>
      <c r="C38" s="2" t="s">
        <v>42</v>
      </c>
    </row>
    <row r="39" spans="1:7">
      <c r="A39" s="2" t="s">
        <v>170</v>
      </c>
      <c r="B39" s="2">
        <f>B31*45*B37</f>
        <v>756</v>
      </c>
      <c r="C39" s="2" t="s">
        <v>43</v>
      </c>
    </row>
    <row r="41" spans="1:7">
      <c r="A41" s="1" t="s">
        <v>173</v>
      </c>
    </row>
    <row r="42" spans="1:7">
      <c r="A42" s="19" t="s">
        <v>66</v>
      </c>
      <c r="B42" s="2">
        <f>B22*E11</f>
        <v>830.8</v>
      </c>
      <c r="C42" s="2" t="s">
        <v>131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72</v>
      </c>
    </row>
    <row r="46" spans="1:7">
      <c r="A46" s="2" t="s">
        <v>82</v>
      </c>
      <c r="B46" s="2">
        <f>F44/B42</f>
        <v>0.72797303803562841</v>
      </c>
      <c r="C46" s="2" t="s">
        <v>73</v>
      </c>
    </row>
    <row r="47" spans="1:7">
      <c r="A47" s="18" t="s">
        <v>74</v>
      </c>
      <c r="B47" s="18">
        <f>-D44*1006 * (20-$B$5)</f>
        <v>-2940.7392</v>
      </c>
      <c r="C47" s="18" t="s">
        <v>75</v>
      </c>
    </row>
    <row r="49" spans="1:7">
      <c r="A49" s="1" t="s">
        <v>83</v>
      </c>
    </row>
    <row r="50" spans="1:7">
      <c r="A50" s="2" t="s">
        <v>129</v>
      </c>
      <c r="B50" s="25">
        <f>G29+B33+B34+B38+B47</f>
        <v>-1764.8926176532518</v>
      </c>
      <c r="C50" s="2" t="s">
        <v>75</v>
      </c>
    </row>
    <row r="51" spans="1:7">
      <c r="A51" s="2" t="s">
        <v>76</v>
      </c>
      <c r="B51" s="2">
        <f>B39</f>
        <v>756</v>
      </c>
      <c r="C51" s="2" t="s">
        <v>75</v>
      </c>
      <c r="F51" s="7"/>
    </row>
    <row r="52" spans="1:7">
      <c r="A52" s="18" t="s">
        <v>120</v>
      </c>
      <c r="B52" s="26">
        <f>B50+B51</f>
        <v>-1008.8926176532518</v>
      </c>
      <c r="C52" s="18" t="s">
        <v>75</v>
      </c>
      <c r="F52" s="7"/>
    </row>
    <row r="53" spans="1:7">
      <c r="A53" s="2" t="s">
        <v>183</v>
      </c>
      <c r="B53" s="25">
        <f>B52-B47</f>
        <v>1931.8465823467482</v>
      </c>
      <c r="C53" s="2" t="s">
        <v>75</v>
      </c>
      <c r="D53" s="2" t="s">
        <v>133</v>
      </c>
    </row>
    <row r="55" spans="1:7">
      <c r="A55" s="1" t="s">
        <v>177</v>
      </c>
    </row>
    <row r="56" spans="1:7">
      <c r="A56" s="2" t="s">
        <v>124</v>
      </c>
      <c r="B56" s="2">
        <v>0.8</v>
      </c>
      <c r="C56" s="23" t="s">
        <v>125</v>
      </c>
    </row>
    <row r="57" spans="1:7">
      <c r="A57" s="2" t="s">
        <v>77</v>
      </c>
      <c r="B57" s="2">
        <v>12</v>
      </c>
      <c r="C57" s="2" t="s">
        <v>123</v>
      </c>
    </row>
    <row r="58" spans="1:7">
      <c r="A58" s="2" t="s">
        <v>127</v>
      </c>
      <c r="B58" s="2">
        <f>-$B$3*(B52/1000)*$B$57/$B$56</f>
        <v>2769.4102354581764</v>
      </c>
      <c r="C58" s="2" t="s">
        <v>78</v>
      </c>
    </row>
    <row r="59" spans="1:7">
      <c r="A59" s="2" t="s">
        <v>126</v>
      </c>
      <c r="B59" s="2">
        <v>0.1</v>
      </c>
      <c r="C59" s="2" t="s">
        <v>79</v>
      </c>
    </row>
    <row r="60" spans="1:7">
      <c r="A60" s="19" t="s">
        <v>80</v>
      </c>
      <c r="B60" s="2">
        <f>B58*B59</f>
        <v>276.94102354581764</v>
      </c>
      <c r="C60" s="2" t="s">
        <v>81</v>
      </c>
    </row>
    <row r="61" spans="1:7">
      <c r="A61" s="2" t="s">
        <v>85</v>
      </c>
      <c r="B61" s="2">
        <f>-$B$3*((B52-B47)/1000)*$B$57/$B$56*B59</f>
        <v>-530.29188685418239</v>
      </c>
      <c r="C61" s="2" t="s">
        <v>81</v>
      </c>
      <c r="D61" s="11">
        <f>B61/B60*100</f>
        <v>-191.4818830610879</v>
      </c>
      <c r="E61" s="2" t="s">
        <v>84</v>
      </c>
    </row>
    <row r="62" spans="1:7">
      <c r="A62" s="2" t="s">
        <v>86</v>
      </c>
      <c r="B62" s="2">
        <f>B60-B61</f>
        <v>807.23291040000004</v>
      </c>
      <c r="C62" s="2" t="s">
        <v>81</v>
      </c>
      <c r="D62" s="11">
        <f>B62/B60*100</f>
        <v>291.48188306108784</v>
      </c>
      <c r="E62" s="2" t="s">
        <v>84</v>
      </c>
    </row>
    <row r="63" spans="1:7">
      <c r="G63"/>
    </row>
    <row r="64" spans="1:7">
      <c r="A64" s="1" t="s">
        <v>182</v>
      </c>
    </row>
    <row r="65" spans="1:5">
      <c r="A65" s="2" t="s">
        <v>136</v>
      </c>
      <c r="B65" s="2">
        <f>(1-0.9)*B47</f>
        <v>-294.07391999999993</v>
      </c>
      <c r="C65" s="2" t="s">
        <v>75</v>
      </c>
    </row>
    <row r="66" spans="1:5">
      <c r="A66" s="2" t="s">
        <v>164</v>
      </c>
      <c r="B66" s="2">
        <f>B3*B57*0.25</f>
        <v>549</v>
      </c>
      <c r="C66" s="2" t="s">
        <v>166</v>
      </c>
    </row>
    <row r="67" spans="1:5">
      <c r="A67" s="2" t="s">
        <v>165</v>
      </c>
      <c r="B67" s="2">
        <f>B66*B77</f>
        <v>120.78</v>
      </c>
      <c r="C67" s="2" t="s">
        <v>81</v>
      </c>
    </row>
    <row r="69" spans="1:5">
      <c r="A69" s="1" t="s">
        <v>181</v>
      </c>
    </row>
    <row r="70" spans="1:5">
      <c r="A70" s="2" t="s">
        <v>139</v>
      </c>
    </row>
    <row r="71" spans="1:5">
      <c r="A71" s="2" t="s">
        <v>87</v>
      </c>
      <c r="B71" s="2">
        <v>0.85</v>
      </c>
    </row>
    <row r="72" spans="1:5">
      <c r="A72" s="2" t="s">
        <v>89</v>
      </c>
      <c r="B72" s="2">
        <v>5</v>
      </c>
    </row>
    <row r="73" spans="1:5">
      <c r="A73" s="2" t="s">
        <v>134</v>
      </c>
      <c r="B73" s="2">
        <f>-B52/1000/B72</f>
        <v>0.20177852353065034</v>
      </c>
      <c r="C73" s="2" t="s">
        <v>135</v>
      </c>
      <c r="D73" s="11">
        <f>B73*3.4</f>
        <v>0.68604698000421116</v>
      </c>
      <c r="E73" s="2" t="s">
        <v>137</v>
      </c>
    </row>
    <row r="74" spans="1:5">
      <c r="A74" s="18" t="s">
        <v>88</v>
      </c>
      <c r="B74" s="26">
        <f>-B65+B53</f>
        <v>2225.920502346748</v>
      </c>
      <c r="C74" s="18" t="s">
        <v>75</v>
      </c>
    </row>
    <row r="75" spans="1:5">
      <c r="A75" s="2" t="s">
        <v>127</v>
      </c>
      <c r="B75" s="2">
        <f>$B$3*(B74/1000)*$B$57/$B$56</f>
        <v>6110.1517789418231</v>
      </c>
      <c r="C75" s="2" t="s">
        <v>78</v>
      </c>
    </row>
    <row r="76" spans="1:5">
      <c r="A76" s="2" t="s">
        <v>128</v>
      </c>
      <c r="B76" s="2">
        <f>B75/B72/B71</f>
        <v>1437.6827715157231</v>
      </c>
      <c r="C76" s="2" t="s">
        <v>78</v>
      </c>
    </row>
    <row r="77" spans="1:5">
      <c r="A77" s="2" t="s">
        <v>90</v>
      </c>
      <c r="B77" s="2">
        <v>0.22</v>
      </c>
      <c r="C77" s="2" t="s">
        <v>79</v>
      </c>
    </row>
    <row r="78" spans="1:5">
      <c r="A78" s="2" t="s">
        <v>91</v>
      </c>
      <c r="B78" s="2">
        <f>B76*B77</f>
        <v>316.29020973345905</v>
      </c>
      <c r="C78" s="2" t="s">
        <v>81</v>
      </c>
    </row>
    <row r="80" spans="1:5">
      <c r="A80" s="21" t="s">
        <v>92</v>
      </c>
      <c r="B80" s="21">
        <f>'PDC+VMC'!B60-B78</f>
        <v>2696.0592033759795</v>
      </c>
      <c r="C80" s="21" t="s">
        <v>81</v>
      </c>
    </row>
    <row r="82" spans="1:6">
      <c r="A82" s="1" t="s">
        <v>141</v>
      </c>
    </row>
    <row r="83" spans="1:6">
      <c r="A83" s="2" t="s">
        <v>143</v>
      </c>
      <c r="B83" s="2">
        <v>5000</v>
      </c>
      <c r="C83" s="2" t="s">
        <v>145</v>
      </c>
    </row>
    <row r="84" spans="1:6">
      <c r="A84" s="2" t="s">
        <v>142</v>
      </c>
      <c r="B84" s="2">
        <v>2500</v>
      </c>
      <c r="C84" s="2" t="s">
        <v>145</v>
      </c>
    </row>
    <row r="85" spans="1:6">
      <c r="A85" s="2" t="s">
        <v>211</v>
      </c>
      <c r="B85" s="25">
        <f>40*E16</f>
        <v>6646.4</v>
      </c>
      <c r="C85" s="2" t="s">
        <v>145</v>
      </c>
    </row>
    <row r="86" spans="1:6">
      <c r="A86" s="28" t="s">
        <v>144</v>
      </c>
      <c r="B86" s="2">
        <f>SUM(B83:B85)</f>
        <v>14146.4</v>
      </c>
      <c r="C86" s="2" t="s">
        <v>145</v>
      </c>
    </row>
    <row r="88" spans="1:6">
      <c r="A88" s="21" t="s">
        <v>146</v>
      </c>
      <c r="B88" s="29">
        <f>B86/B80</f>
        <v>5.2470657848633344</v>
      </c>
      <c r="C88" s="24" t="s">
        <v>147</v>
      </c>
    </row>
    <row r="90" spans="1:6">
      <c r="A90" s="30" t="s">
        <v>148</v>
      </c>
      <c r="B90" s="16" t="s">
        <v>153</v>
      </c>
      <c r="C90" s="16" t="s">
        <v>151</v>
      </c>
      <c r="D90" s="16" t="s">
        <v>152</v>
      </c>
      <c r="E90" s="16" t="s">
        <v>149</v>
      </c>
    </row>
    <row r="91" spans="1:6">
      <c r="A91" s="3">
        <v>0</v>
      </c>
      <c r="B91" s="3">
        <f>-$B$86</f>
        <v>-14146.4</v>
      </c>
      <c r="C91" s="3"/>
      <c r="D91" s="20"/>
      <c r="E91" s="20">
        <f>B91</f>
        <v>-14146.4</v>
      </c>
    </row>
    <row r="92" spans="1:6">
      <c r="A92" s="3">
        <v>1</v>
      </c>
      <c r="B92" s="3">
        <f t="shared" ref="B92:B101" si="2">-$B$67</f>
        <v>-120.78</v>
      </c>
      <c r="C92" s="20">
        <f>-'PDC+VMC'!$B$60</f>
        <v>-3012.3494131094385</v>
      </c>
      <c r="D92" s="20">
        <f>-$B$78+B92</f>
        <v>-437.07020973345902</v>
      </c>
      <c r="E92" s="20">
        <f>D92-C92</f>
        <v>2575.2792033759797</v>
      </c>
      <c r="F92" s="27" t="s">
        <v>162</v>
      </c>
    </row>
    <row r="93" spans="1:6">
      <c r="A93" s="3">
        <v>2</v>
      </c>
      <c r="B93" s="3">
        <f t="shared" si="2"/>
        <v>-120.78</v>
      </c>
      <c r="C93" s="20">
        <f>-'PDC+VMC'!$B$60</f>
        <v>-3012.3494131094385</v>
      </c>
      <c r="D93" s="20">
        <f t="shared" ref="D93:D101" si="3">-$B$78+B93</f>
        <v>-437.07020973345902</v>
      </c>
      <c r="E93" s="20">
        <f>D93-C93</f>
        <v>2575.2792033759797</v>
      </c>
      <c r="F93" s="27" t="s">
        <v>163</v>
      </c>
    </row>
    <row r="94" spans="1:6">
      <c r="A94" s="3">
        <v>3</v>
      </c>
      <c r="B94" s="3">
        <f t="shared" si="2"/>
        <v>-120.78</v>
      </c>
      <c r="C94" s="20">
        <f>-'PDC+VMC'!$B$60</f>
        <v>-3012.3494131094385</v>
      </c>
      <c r="D94" s="20">
        <f t="shared" si="3"/>
        <v>-437.07020973345902</v>
      </c>
      <c r="E94" s="20">
        <f t="shared" ref="E94:E101" si="4">D94-C94</f>
        <v>2575.2792033759797</v>
      </c>
    </row>
    <row r="95" spans="1:6">
      <c r="A95" s="3">
        <v>4</v>
      </c>
      <c r="B95" s="3">
        <f t="shared" si="2"/>
        <v>-120.78</v>
      </c>
      <c r="C95" s="20">
        <f>-'PDC+VMC'!$B$60</f>
        <v>-3012.3494131094385</v>
      </c>
      <c r="D95" s="20">
        <f t="shared" si="3"/>
        <v>-437.07020973345902</v>
      </c>
      <c r="E95" s="20">
        <f t="shared" si="4"/>
        <v>2575.2792033759797</v>
      </c>
    </row>
    <row r="96" spans="1:6">
      <c r="A96" s="3">
        <v>5</v>
      </c>
      <c r="B96" s="3">
        <f t="shared" si="2"/>
        <v>-120.78</v>
      </c>
      <c r="C96" s="20">
        <f>-'PDC+VMC'!$B$60</f>
        <v>-3012.3494131094385</v>
      </c>
      <c r="D96" s="20">
        <f t="shared" si="3"/>
        <v>-437.07020973345902</v>
      </c>
      <c r="E96" s="20">
        <f t="shared" si="4"/>
        <v>2575.2792033759797</v>
      </c>
    </row>
    <row r="97" spans="1:6">
      <c r="A97" s="3">
        <v>6</v>
      </c>
      <c r="B97" s="3">
        <f t="shared" si="2"/>
        <v>-120.78</v>
      </c>
      <c r="C97" s="20">
        <f>-'PDC+VMC'!$B$60</f>
        <v>-3012.3494131094385</v>
      </c>
      <c r="D97" s="20">
        <f t="shared" si="3"/>
        <v>-437.07020973345902</v>
      </c>
      <c r="E97" s="20">
        <f t="shared" si="4"/>
        <v>2575.2792033759797</v>
      </c>
    </row>
    <row r="98" spans="1:6">
      <c r="A98" s="3">
        <v>7</v>
      </c>
      <c r="B98" s="3">
        <f t="shared" si="2"/>
        <v>-120.78</v>
      </c>
      <c r="C98" s="20">
        <f>-'PDC+VMC'!$B$60</f>
        <v>-3012.3494131094385</v>
      </c>
      <c r="D98" s="20">
        <f t="shared" si="3"/>
        <v>-437.07020973345902</v>
      </c>
      <c r="E98" s="20">
        <f t="shared" si="4"/>
        <v>2575.2792033759797</v>
      </c>
    </row>
    <row r="99" spans="1:6">
      <c r="A99" s="3">
        <v>8</v>
      </c>
      <c r="B99" s="3">
        <f t="shared" si="2"/>
        <v>-120.78</v>
      </c>
      <c r="C99" s="20">
        <f>-'PDC+VMC'!$B$60</f>
        <v>-3012.3494131094385</v>
      </c>
      <c r="D99" s="20">
        <f t="shared" si="3"/>
        <v>-437.07020973345902</v>
      </c>
      <c r="E99" s="20">
        <f t="shared" si="4"/>
        <v>2575.2792033759797</v>
      </c>
    </row>
    <row r="100" spans="1:6">
      <c r="A100" s="3">
        <v>9</v>
      </c>
      <c r="B100" s="3">
        <f t="shared" si="2"/>
        <v>-120.78</v>
      </c>
      <c r="C100" s="20">
        <f>-'PDC+VMC'!$B$60</f>
        <v>-3012.3494131094385</v>
      </c>
      <c r="D100" s="20">
        <f t="shared" si="3"/>
        <v>-437.07020973345902</v>
      </c>
      <c r="E100" s="20">
        <f t="shared" si="4"/>
        <v>2575.2792033759797</v>
      </c>
    </row>
    <row r="101" spans="1:6">
      <c r="A101" s="3">
        <v>10</v>
      </c>
      <c r="B101" s="3">
        <f t="shared" si="2"/>
        <v>-120.78</v>
      </c>
      <c r="C101" s="20">
        <f>-'PDC+VMC'!$B$60</f>
        <v>-3012.3494131094385</v>
      </c>
      <c r="D101" s="20">
        <f t="shared" si="3"/>
        <v>-437.07020973345902</v>
      </c>
      <c r="E101" s="20">
        <f t="shared" si="4"/>
        <v>2575.2792033759797</v>
      </c>
    </row>
    <row r="102" spans="1:6">
      <c r="A102" s="3"/>
      <c r="B102" s="3"/>
      <c r="C102" s="20">
        <f>SUM(C92:C101)</f>
        <v>-30123.49413109438</v>
      </c>
      <c r="D102" s="20">
        <f>SUM(D91:D101)</f>
        <v>-4370.7020973345889</v>
      </c>
      <c r="E102" s="20">
        <f>SUM(E91:E101)</f>
        <v>11606.392033759797</v>
      </c>
    </row>
    <row r="103" spans="1:6">
      <c r="A103" s="2" t="s">
        <v>150</v>
      </c>
      <c r="B103" s="25">
        <f>E102</f>
        <v>11606.392033759797</v>
      </c>
      <c r="C103" s="2" t="s">
        <v>145</v>
      </c>
    </row>
    <row r="105" spans="1:6">
      <c r="A105" s="1" t="s">
        <v>161</v>
      </c>
    </row>
    <row r="106" spans="1:6">
      <c r="A106" s="2" t="s">
        <v>156</v>
      </c>
      <c r="B106" s="25">
        <f>'PDC+VMC'!B58-B76</f>
        <v>28685.81135957866</v>
      </c>
      <c r="C106" s="2" t="s">
        <v>78</v>
      </c>
    </row>
    <row r="107" spans="1:6">
      <c r="A107" s="2" t="s">
        <v>184</v>
      </c>
      <c r="B107" s="2">
        <v>11630</v>
      </c>
      <c r="C107" s="2" t="s">
        <v>78</v>
      </c>
      <c r="F107"/>
    </row>
    <row r="108" spans="1:6">
      <c r="A108" s="2" t="s">
        <v>154</v>
      </c>
      <c r="B108" s="11">
        <f>B106/B107</f>
        <v>2.4665358004796785</v>
      </c>
      <c r="C108" s="11">
        <f>B108/0.82*1000</f>
        <v>3007.9704883898521</v>
      </c>
      <c r="D108" s="2" t="s">
        <v>155</v>
      </c>
    </row>
    <row r="110" spans="1:6">
      <c r="A110" s="2" t="s">
        <v>159</v>
      </c>
      <c r="B110" s="2">
        <v>0.255</v>
      </c>
      <c r="C110" s="2" t="s">
        <v>157</v>
      </c>
    </row>
    <row r="111" spans="1:6">
      <c r="A111" s="2" t="s">
        <v>158</v>
      </c>
      <c r="B111" s="7">
        <f>B110*B106/1000</f>
        <v>7.3148818966925582</v>
      </c>
      <c r="C111" s="2" t="s">
        <v>160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96"/>
  <sheetViews>
    <sheetView topLeftCell="A31" zoomScaleNormal="100" workbookViewId="0">
      <selection activeCell="A58" sqref="A58:E58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199</v>
      </c>
    </row>
    <row r="5" spans="1:18">
      <c r="A5" s="2" t="s">
        <v>49</v>
      </c>
      <c r="B5" s="2">
        <f>183-6*4-15</f>
        <v>144</v>
      </c>
      <c r="C5" s="2" t="s">
        <v>200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138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198</v>
      </c>
    </row>
    <row r="21" spans="1:18">
      <c r="A21" s="27" t="s">
        <v>178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1.25</v>
      </c>
      <c r="F23" s="3">
        <v>1</v>
      </c>
      <c r="G23" s="20">
        <f t="shared" ref="G23:G29" si="0">B23*C23*D23*E23*F23</f>
        <v>1188.85298067132</v>
      </c>
    </row>
    <row r="24" spans="1:18">
      <c r="A24" s="3" t="s">
        <v>194</v>
      </c>
      <c r="B24" s="14">
        <f>E13</f>
        <v>41.875</v>
      </c>
      <c r="C24" s="3">
        <f>20-$B$7</f>
        <v>14.5</v>
      </c>
      <c r="D24" s="14">
        <f>Trasmittanze!M11</f>
        <v>0.29438337599759068</v>
      </c>
      <c r="E24" s="3">
        <v>1.25</v>
      </c>
      <c r="F24" s="3">
        <v>1.2</v>
      </c>
      <c r="G24" s="20">
        <f t="shared" si="0"/>
        <v>268.11885917030565</v>
      </c>
    </row>
    <row r="25" spans="1:18">
      <c r="A25" s="3" t="s">
        <v>195</v>
      </c>
      <c r="B25" s="3">
        <f>E14</f>
        <v>9.75</v>
      </c>
      <c r="C25" s="3">
        <f t="shared" ref="C25:C29" si="1">20-$B$7</f>
        <v>14.5</v>
      </c>
      <c r="D25" s="14">
        <f>Trasmittanze!I26</f>
        <v>1.006711409395973</v>
      </c>
      <c r="E25" s="3">
        <v>1.25</v>
      </c>
      <c r="F25" s="3">
        <v>1.2</v>
      </c>
      <c r="G25" s="20">
        <f t="shared" si="0"/>
        <v>213.48573825503354</v>
      </c>
    </row>
    <row r="26" spans="1:18">
      <c r="A26" s="3" t="s">
        <v>196</v>
      </c>
      <c r="B26" s="3">
        <f>H13</f>
        <v>4.2</v>
      </c>
      <c r="C26" s="3">
        <f t="shared" si="1"/>
        <v>14.5</v>
      </c>
      <c r="D26" s="14">
        <f>Trasmittanze!M11</f>
        <v>0.29438337599759068</v>
      </c>
      <c r="E26" s="3">
        <v>1.25</v>
      </c>
      <c r="F26" s="3">
        <v>1</v>
      </c>
      <c r="G26" s="20">
        <f t="shared" si="0"/>
        <v>22.40993449781659</v>
      </c>
    </row>
    <row r="27" spans="1:18">
      <c r="A27" s="3" t="s">
        <v>197</v>
      </c>
      <c r="B27" s="3">
        <f>H14</f>
        <v>5.8500000000000005</v>
      </c>
      <c r="C27" s="3">
        <f t="shared" si="1"/>
        <v>14.5</v>
      </c>
      <c r="D27" s="14">
        <f>Trasmittanze!I26</f>
        <v>1.006711409395973</v>
      </c>
      <c r="E27" s="3">
        <v>1.25</v>
      </c>
      <c r="F27" s="3">
        <v>1</v>
      </c>
      <c r="G27" s="20">
        <f t="shared" si="0"/>
        <v>106.74286912751677</v>
      </c>
    </row>
    <row r="28" spans="1:18">
      <c r="A28" s="3" t="s">
        <v>209</v>
      </c>
      <c r="B28" s="15">
        <f>H17</f>
        <v>166.16</v>
      </c>
      <c r="C28" s="3">
        <f t="shared" si="1"/>
        <v>14.5</v>
      </c>
      <c r="D28" s="14">
        <f>Trasmittanze!M22</f>
        <v>0.22282503390815731</v>
      </c>
      <c r="E28" s="3">
        <v>1.25</v>
      </c>
      <c r="F28" s="3">
        <v>1</v>
      </c>
      <c r="G28" s="20">
        <f t="shared" si="0"/>
        <v>671.071013369502</v>
      </c>
    </row>
    <row r="29" spans="1:18">
      <c r="A29" s="3" t="s">
        <v>38</v>
      </c>
      <c r="B29" s="15">
        <v>0</v>
      </c>
      <c r="C29" s="3">
        <f t="shared" si="1"/>
        <v>14.5</v>
      </c>
      <c r="D29" s="14">
        <f>Trasmittanze!I26</f>
        <v>1.006711409395973</v>
      </c>
      <c r="E29" s="3">
        <v>1.25</v>
      </c>
      <c r="F29" s="3">
        <v>1</v>
      </c>
      <c r="G29" s="20">
        <f t="shared" si="0"/>
        <v>0</v>
      </c>
    </row>
    <row r="30" spans="1:18">
      <c r="F30" s="2" t="s">
        <v>40</v>
      </c>
      <c r="G30" s="25">
        <f>-SUM(G23:G29)</f>
        <v>-2470.6813950914948</v>
      </c>
      <c r="H30" s="2" t="s">
        <v>39</v>
      </c>
    </row>
    <row r="31" spans="1:18">
      <c r="A31" s="1" t="s">
        <v>172</v>
      </c>
    </row>
    <row r="32" spans="1:18">
      <c r="A32" s="2" t="s">
        <v>41</v>
      </c>
      <c r="B32" s="2">
        <v>24</v>
      </c>
      <c r="C32" s="23" t="s">
        <v>185</v>
      </c>
    </row>
    <row r="33" spans="1:7">
      <c r="A33" s="2" t="s">
        <v>190</v>
      </c>
      <c r="B33" s="31">
        <v>0.6</v>
      </c>
      <c r="C33" s="2" t="s">
        <v>191</v>
      </c>
    </row>
    <row r="34" spans="1:7">
      <c r="A34" s="2" t="s">
        <v>59</v>
      </c>
      <c r="B34" s="2">
        <f>20*35*B33</f>
        <v>420</v>
      </c>
      <c r="C34" s="2" t="s">
        <v>39</v>
      </c>
    </row>
    <row r="35" spans="1:7">
      <c r="A35" s="2" t="s">
        <v>202</v>
      </c>
      <c r="B35" s="2">
        <f>250*B32*B33*0.5</f>
        <v>1800</v>
      </c>
      <c r="C35" s="2" t="s">
        <v>201</v>
      </c>
    </row>
    <row r="37" spans="1:7">
      <c r="A37" s="1" t="s">
        <v>60</v>
      </c>
    </row>
    <row r="38" spans="1:7">
      <c r="A38" s="2" t="s">
        <v>190</v>
      </c>
      <c r="B38" s="31">
        <v>0.6</v>
      </c>
      <c r="C38" s="2" t="s">
        <v>191</v>
      </c>
    </row>
    <row r="39" spans="1:7">
      <c r="A39" s="2" t="s">
        <v>169</v>
      </c>
      <c r="B39" s="2">
        <f>70*B32*B38</f>
        <v>1008</v>
      </c>
      <c r="C39" s="2" t="s">
        <v>42</v>
      </c>
    </row>
    <row r="40" spans="1:7">
      <c r="A40" s="2" t="s">
        <v>170</v>
      </c>
      <c r="B40" s="2">
        <f>B32*45*B38</f>
        <v>648</v>
      </c>
      <c r="C40" s="2" t="s">
        <v>43</v>
      </c>
    </row>
    <row r="42" spans="1:7">
      <c r="A42" s="1" t="s">
        <v>173</v>
      </c>
    </row>
    <row r="43" spans="1:7">
      <c r="A43" s="19" t="s">
        <v>66</v>
      </c>
      <c r="B43" s="2">
        <f>B23*E12</f>
        <v>1038.5</v>
      </c>
      <c r="C43" s="2" t="s">
        <v>71</v>
      </c>
    </row>
    <row r="44" spans="1:7">
      <c r="A44" s="2" t="s">
        <v>61</v>
      </c>
      <c r="B44" s="2">
        <f>7</f>
        <v>7</v>
      </c>
      <c r="C44" s="2" t="s">
        <v>62</v>
      </c>
    </row>
    <row r="45" spans="1:7">
      <c r="A45" s="2" t="s">
        <v>63</v>
      </c>
      <c r="B45" s="2">
        <f>B44*B32</f>
        <v>168</v>
      </c>
      <c r="C45" s="2" t="s">
        <v>62</v>
      </c>
      <c r="D45" s="2">
        <f>1.2*B45/1000</f>
        <v>0.2016</v>
      </c>
      <c r="E45" s="2" t="s">
        <v>64</v>
      </c>
      <c r="F45" s="2">
        <f>B45*3.6</f>
        <v>604.80000000000007</v>
      </c>
      <c r="G45" s="2" t="s">
        <v>65</v>
      </c>
    </row>
    <row r="46" spans="1:7">
      <c r="A46" s="2" t="s">
        <v>140</v>
      </c>
    </row>
    <row r="47" spans="1:7">
      <c r="A47" s="2" t="s">
        <v>82</v>
      </c>
      <c r="B47" s="2">
        <f>F45/B43</f>
        <v>0.58237843042850268</v>
      </c>
      <c r="C47" s="2" t="s">
        <v>73</v>
      </c>
    </row>
    <row r="48" spans="1:7">
      <c r="A48" s="24" t="s">
        <v>74</v>
      </c>
      <c r="B48" s="24">
        <f>-D45*1006 * (20-$B$7)</f>
        <v>-2940.7392</v>
      </c>
      <c r="C48" s="24" t="s">
        <v>75</v>
      </c>
    </row>
    <row r="50" spans="1:6">
      <c r="A50" s="1" t="s">
        <v>83</v>
      </c>
    </row>
    <row r="51" spans="1:6">
      <c r="A51" s="2" t="s">
        <v>129</v>
      </c>
      <c r="B51" s="2">
        <f>G30+B34+B35+B39+B48</f>
        <v>-2183.4205950914948</v>
      </c>
      <c r="C51" s="2" t="s">
        <v>75</v>
      </c>
    </row>
    <row r="52" spans="1:6">
      <c r="A52" s="2" t="s">
        <v>76</v>
      </c>
      <c r="B52" s="2">
        <f>B40</f>
        <v>648</v>
      </c>
      <c r="C52" s="2" t="s">
        <v>75</v>
      </c>
      <c r="D52" s="2" t="s">
        <v>203</v>
      </c>
      <c r="F52" s="7"/>
    </row>
    <row r="53" spans="1:6">
      <c r="A53" s="24" t="s">
        <v>120</v>
      </c>
      <c r="B53" s="45">
        <f>B51+B52</f>
        <v>-1535.4205950914948</v>
      </c>
      <c r="C53" s="24" t="s">
        <v>75</v>
      </c>
      <c r="D53" s="11"/>
      <c r="F53" s="7"/>
    </row>
    <row r="54" spans="1:6">
      <c r="A54" s="2" t="s">
        <v>174</v>
      </c>
      <c r="B54" s="25">
        <f>B53-B48</f>
        <v>1405.3186049085052</v>
      </c>
      <c r="C54" s="2" t="s">
        <v>75</v>
      </c>
      <c r="D54" s="2" t="s">
        <v>210</v>
      </c>
      <c r="F54" s="7"/>
    </row>
    <row r="56" spans="1:6">
      <c r="A56" s="1" t="s">
        <v>177</v>
      </c>
    </row>
    <row r="57" spans="1:6">
      <c r="A57" s="2" t="s">
        <v>176</v>
      </c>
      <c r="B57" s="2">
        <v>0.8</v>
      </c>
      <c r="C57" s="23" t="s">
        <v>125</v>
      </c>
    </row>
    <row r="58" spans="1:6">
      <c r="A58" s="2" t="s">
        <v>77</v>
      </c>
      <c r="B58" s="2">
        <v>12</v>
      </c>
      <c r="C58" s="2" t="s">
        <v>123</v>
      </c>
    </row>
    <row r="59" spans="1:6">
      <c r="A59" s="21" t="s">
        <v>127</v>
      </c>
      <c r="B59" s="21">
        <f>-$B$5*(B53/1000)*$B$58/$B$57</f>
        <v>3316.5084853976286</v>
      </c>
      <c r="C59" s="21" t="s">
        <v>78</v>
      </c>
    </row>
    <row r="60" spans="1:6">
      <c r="A60" s="2" t="s">
        <v>126</v>
      </c>
      <c r="B60" s="2">
        <v>0.1</v>
      </c>
      <c r="C60" s="2" t="s">
        <v>79</v>
      </c>
    </row>
    <row r="61" spans="1:6">
      <c r="A61" s="24" t="s">
        <v>80</v>
      </c>
      <c r="B61" s="24">
        <f>B59*B60</f>
        <v>331.65084853976288</v>
      </c>
      <c r="C61" s="24" t="s">
        <v>81</v>
      </c>
    </row>
    <row r="62" spans="1:6">
      <c r="A62" s="2" t="s">
        <v>85</v>
      </c>
      <c r="B62" s="2">
        <f>-$B$5*((B53-B48)/1000)*$B$58/$B$57*B60</f>
        <v>-303.54881866023709</v>
      </c>
      <c r="C62" s="2" t="s">
        <v>81</v>
      </c>
      <c r="D62" s="11">
        <f>B62/B61*100</f>
        <v>-91.52662204747638</v>
      </c>
      <c r="E62" s="2" t="s">
        <v>84</v>
      </c>
    </row>
    <row r="63" spans="1:6">
      <c r="A63" s="2" t="s">
        <v>86</v>
      </c>
      <c r="B63" s="2">
        <f>B61-B62</f>
        <v>635.19966720000002</v>
      </c>
      <c r="C63" s="2" t="s">
        <v>81</v>
      </c>
      <c r="D63" s="11">
        <f>B63/B61*100</f>
        <v>191.52662204747639</v>
      </c>
      <c r="E63" s="2" t="s">
        <v>84</v>
      </c>
    </row>
    <row r="65" spans="1:8">
      <c r="A65" s="21" t="s">
        <v>92</v>
      </c>
      <c r="B65" s="21">
        <f>MAX.!B65-B61</f>
        <v>3122.0032694561191</v>
      </c>
      <c r="C65" s="21" t="s">
        <v>81</v>
      </c>
    </row>
    <row r="67" spans="1:8">
      <c r="A67" s="1" t="s">
        <v>141</v>
      </c>
    </row>
    <row r="68" spans="1:8">
      <c r="A68" s="2" t="s">
        <v>213</v>
      </c>
      <c r="B68" s="2">
        <f>40*E13</f>
        <v>1675</v>
      </c>
      <c r="C68" s="2" t="s">
        <v>145</v>
      </c>
    </row>
    <row r="69" spans="1:8">
      <c r="A69" s="2" t="s">
        <v>211</v>
      </c>
      <c r="B69" s="25">
        <f>40*H17</f>
        <v>6646.4</v>
      </c>
      <c r="C69" s="2" t="s">
        <v>145</v>
      </c>
    </row>
    <row r="70" spans="1:8">
      <c r="A70" s="2" t="s">
        <v>212</v>
      </c>
      <c r="B70" s="2">
        <f>500*(H14*2)</f>
        <v>5850.0000000000009</v>
      </c>
      <c r="C70" s="2" t="s">
        <v>145</v>
      </c>
    </row>
    <row r="71" spans="1:8">
      <c r="A71" s="28" t="s">
        <v>144</v>
      </c>
      <c r="B71" s="2">
        <f>SUM(B68:B70)</f>
        <v>14171.400000000001</v>
      </c>
      <c r="C71" s="2" t="s">
        <v>145</v>
      </c>
    </row>
    <row r="73" spans="1:8">
      <c r="A73" s="21" t="s">
        <v>146</v>
      </c>
      <c r="B73" s="29">
        <f>B71/B65</f>
        <v>4.5392008838186726</v>
      </c>
      <c r="C73" s="24" t="s">
        <v>147</v>
      </c>
    </row>
    <row r="75" spans="1:8">
      <c r="A75" s="30" t="s">
        <v>148</v>
      </c>
      <c r="B75" s="16" t="s">
        <v>153</v>
      </c>
      <c r="C75" s="16" t="s">
        <v>151</v>
      </c>
      <c r="D75" s="16" t="s">
        <v>152</v>
      </c>
      <c r="E75" s="16" t="s">
        <v>149</v>
      </c>
    </row>
    <row r="76" spans="1:8">
      <c r="A76" s="3">
        <v>0</v>
      </c>
      <c r="B76" s="3">
        <f>-$B$71</f>
        <v>-14171.400000000001</v>
      </c>
      <c r="C76" s="3"/>
      <c r="D76" s="20"/>
      <c r="E76" s="20">
        <f>B76</f>
        <v>-14171.400000000001</v>
      </c>
    </row>
    <row r="77" spans="1:8">
      <c r="A77" s="3">
        <v>1</v>
      </c>
      <c r="B77" s="3"/>
      <c r="C77" s="20">
        <f>-MAX.!$B$65</f>
        <v>-3453.6541179958822</v>
      </c>
      <c r="D77" s="20">
        <f>-$B$61</f>
        <v>-331.65084853976288</v>
      </c>
      <c r="E77" s="20">
        <f>D77-C77</f>
        <v>3122.0032694561191</v>
      </c>
      <c r="F77" s="27" t="s">
        <v>162</v>
      </c>
      <c r="G77" s="27"/>
      <c r="H77" s="27"/>
    </row>
    <row r="78" spans="1:8">
      <c r="A78" s="3">
        <v>2</v>
      </c>
      <c r="B78" s="3"/>
      <c r="C78" s="20">
        <f>-MAX.!$B$65</f>
        <v>-3453.6541179958822</v>
      </c>
      <c r="D78" s="20">
        <f t="shared" ref="D78:D86" si="2">-$B$61</f>
        <v>-331.65084853976288</v>
      </c>
      <c r="E78" s="20">
        <f>D78-C78</f>
        <v>3122.0032694561191</v>
      </c>
      <c r="F78" s="27" t="s">
        <v>163</v>
      </c>
    </row>
    <row r="79" spans="1:8">
      <c r="A79" s="3">
        <v>3</v>
      </c>
      <c r="B79" s="3"/>
      <c r="C79" s="20">
        <f>-MAX.!$B$65</f>
        <v>-3453.6541179958822</v>
      </c>
      <c r="D79" s="20">
        <f t="shared" si="2"/>
        <v>-331.65084853976288</v>
      </c>
      <c r="E79" s="20">
        <f t="shared" ref="E79:E86" si="3">D79-C79</f>
        <v>3122.0032694561191</v>
      </c>
    </row>
    <row r="80" spans="1:8">
      <c r="A80" s="3">
        <v>4</v>
      </c>
      <c r="B80" s="3"/>
      <c r="C80" s="20">
        <f>-MAX.!$B$65</f>
        <v>-3453.6541179958822</v>
      </c>
      <c r="D80" s="20">
        <f t="shared" si="2"/>
        <v>-331.65084853976288</v>
      </c>
      <c r="E80" s="20">
        <f t="shared" si="3"/>
        <v>3122.0032694561191</v>
      </c>
    </row>
    <row r="81" spans="1:7">
      <c r="A81" s="3">
        <v>5</v>
      </c>
      <c r="B81" s="3"/>
      <c r="C81" s="20">
        <f>-MAX.!$B$65</f>
        <v>-3453.6541179958822</v>
      </c>
      <c r="D81" s="20">
        <f t="shared" si="2"/>
        <v>-331.65084853976288</v>
      </c>
      <c r="E81" s="20">
        <f t="shared" si="3"/>
        <v>3122.0032694561191</v>
      </c>
    </row>
    <row r="82" spans="1:7">
      <c r="A82" s="3">
        <v>6</v>
      </c>
      <c r="B82" s="3"/>
      <c r="C82" s="20">
        <f>-MAX.!$B$65</f>
        <v>-3453.6541179958822</v>
      </c>
      <c r="D82" s="20">
        <f t="shared" si="2"/>
        <v>-331.65084853976288</v>
      </c>
      <c r="E82" s="20">
        <f t="shared" si="3"/>
        <v>3122.0032694561191</v>
      </c>
    </row>
    <row r="83" spans="1:7">
      <c r="A83" s="3">
        <v>7</v>
      </c>
      <c r="B83" s="3"/>
      <c r="C83" s="20">
        <f>-MAX.!$B$65</f>
        <v>-3453.6541179958822</v>
      </c>
      <c r="D83" s="20">
        <f t="shared" si="2"/>
        <v>-331.65084853976288</v>
      </c>
      <c r="E83" s="20">
        <f t="shared" si="3"/>
        <v>3122.0032694561191</v>
      </c>
    </row>
    <row r="84" spans="1:7">
      <c r="A84" s="3">
        <v>8</v>
      </c>
      <c r="B84" s="3"/>
      <c r="C84" s="20">
        <f>-MAX.!$B$65</f>
        <v>-3453.6541179958822</v>
      </c>
      <c r="D84" s="20">
        <f t="shared" si="2"/>
        <v>-331.65084853976288</v>
      </c>
      <c r="E84" s="20">
        <f t="shared" si="3"/>
        <v>3122.0032694561191</v>
      </c>
    </row>
    <row r="85" spans="1:7">
      <c r="A85" s="3">
        <v>9</v>
      </c>
      <c r="B85" s="3"/>
      <c r="C85" s="20">
        <f>-MAX.!$B$65</f>
        <v>-3453.6541179958822</v>
      </c>
      <c r="D85" s="20">
        <f t="shared" si="2"/>
        <v>-331.65084853976288</v>
      </c>
      <c r="E85" s="20">
        <f t="shared" si="3"/>
        <v>3122.0032694561191</v>
      </c>
    </row>
    <row r="86" spans="1:7">
      <c r="A86" s="3">
        <v>10</v>
      </c>
      <c r="B86" s="3"/>
      <c r="C86" s="20">
        <f>-MAX.!$B$65</f>
        <v>-3453.6541179958822</v>
      </c>
      <c r="D86" s="20">
        <f t="shared" si="2"/>
        <v>-331.65084853976288</v>
      </c>
      <c r="E86" s="20">
        <f t="shared" si="3"/>
        <v>3122.0032694561191</v>
      </c>
    </row>
    <row r="87" spans="1:7">
      <c r="A87" s="3"/>
      <c r="B87" s="3">
        <f>SUM(B76:B86)</f>
        <v>-14171.400000000001</v>
      </c>
      <c r="C87" s="20">
        <f>SUM(C77:C86)</f>
        <v>-34536.541179958811</v>
      </c>
      <c r="D87" s="20">
        <f>SUM(D76:D86)</f>
        <v>-3316.5084853976291</v>
      </c>
      <c r="E87" s="20">
        <f>SUM(E76:E86)</f>
        <v>17048.632694561191</v>
      </c>
    </row>
    <row r="88" spans="1:7">
      <c r="A88" s="2" t="s">
        <v>150</v>
      </c>
      <c r="B88" s="25">
        <f>E87</f>
        <v>17048.632694561191</v>
      </c>
      <c r="C88" s="2" t="s">
        <v>145</v>
      </c>
    </row>
    <row r="89" spans="1:7">
      <c r="B89" s="25"/>
    </row>
    <row r="90" spans="1:7">
      <c r="A90" s="1" t="s">
        <v>161</v>
      </c>
      <c r="B90" s="25"/>
    </row>
    <row r="91" spans="1:7">
      <c r="A91" s="2" t="s">
        <v>156</v>
      </c>
      <c r="B91" s="25">
        <f>-B59+MAX.!B63</f>
        <v>31220.032694561189</v>
      </c>
      <c r="C91" s="2" t="s">
        <v>78</v>
      </c>
    </row>
    <row r="92" spans="1:7">
      <c r="A92" s="2" t="s">
        <v>184</v>
      </c>
      <c r="B92" s="2">
        <v>11630</v>
      </c>
      <c r="C92" s="2" t="s">
        <v>78</v>
      </c>
    </row>
    <row r="93" spans="1:7">
      <c r="A93" s="2" t="s">
        <v>154</v>
      </c>
      <c r="B93" s="11">
        <f>B91/B92</f>
        <v>2.6844396126019938</v>
      </c>
      <c r="C93" s="11">
        <f>B93/0.82*1000</f>
        <v>3273.7068446365784</v>
      </c>
      <c r="D93" s="2" t="s">
        <v>155</v>
      </c>
      <c r="G93"/>
    </row>
    <row r="94" spans="1:7">
      <c r="B94" s="11"/>
      <c r="C94" s="11"/>
    </row>
    <row r="95" spans="1:7">
      <c r="A95" s="2" t="s">
        <v>159</v>
      </c>
      <c r="B95" s="2">
        <v>0.255</v>
      </c>
      <c r="C95" s="2" t="s">
        <v>157</v>
      </c>
    </row>
    <row r="96" spans="1:7">
      <c r="A96" s="2" t="s">
        <v>158</v>
      </c>
      <c r="B96" s="7">
        <f>B95*B91/1000</f>
        <v>7.9611083371131039</v>
      </c>
      <c r="C96" s="2" t="s">
        <v>160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01"/>
  <sheetViews>
    <sheetView topLeftCell="A37" zoomScaleNormal="100" workbookViewId="0">
      <selection activeCell="A75" sqref="A75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199</v>
      </c>
    </row>
    <row r="5" spans="1:18">
      <c r="A5" s="2" t="s">
        <v>49</v>
      </c>
      <c r="B5" s="2">
        <f>183-6*4-15</f>
        <v>144</v>
      </c>
      <c r="C5" s="2" t="s">
        <v>200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138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198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194</v>
      </c>
      <c r="B23" s="14">
        <f>E13</f>
        <v>41.875</v>
      </c>
      <c r="C23" s="3">
        <f>20-$B$7</f>
        <v>14.5</v>
      </c>
      <c r="D23" s="14">
        <f>Trasmittanze!F10</f>
        <v>0.72649572649572647</v>
      </c>
      <c r="E23" s="3">
        <v>1.3</v>
      </c>
      <c r="F23" s="3">
        <v>1.2</v>
      </c>
      <c r="G23" s="20">
        <f t="shared" si="0"/>
        <v>688.14583333333326</v>
      </c>
    </row>
    <row r="24" spans="1:18">
      <c r="A24" s="3" t="s">
        <v>195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196</v>
      </c>
      <c r="B25" s="3">
        <f>H13</f>
        <v>4.2</v>
      </c>
      <c r="C25" s="3">
        <f t="shared" si="1"/>
        <v>14.5</v>
      </c>
      <c r="D25" s="14">
        <f>Trasmittanze!F10</f>
        <v>0.72649572649572647</v>
      </c>
      <c r="E25" s="3">
        <v>1.3</v>
      </c>
      <c r="F25" s="3">
        <v>1</v>
      </c>
      <c r="G25" s="20">
        <f t="shared" si="0"/>
        <v>57.516666666666673</v>
      </c>
    </row>
    <row r="26" spans="1:18">
      <c r="A26" s="3" t="s">
        <v>197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-14881.32289772888</v>
      </c>
      <c r="H29" s="2" t="s">
        <v>39</v>
      </c>
    </row>
    <row r="30" spans="1:18">
      <c r="A30" s="1" t="s">
        <v>172</v>
      </c>
    </row>
    <row r="31" spans="1:18">
      <c r="A31" s="2" t="s">
        <v>41</v>
      </c>
      <c r="B31" s="2">
        <v>24</v>
      </c>
      <c r="C31" s="23" t="s">
        <v>185</v>
      </c>
    </row>
    <row r="32" spans="1:18">
      <c r="A32" s="2" t="s">
        <v>190</v>
      </c>
      <c r="B32" s="31">
        <v>0.6</v>
      </c>
      <c r="C32" s="2" t="s">
        <v>191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202</v>
      </c>
      <c r="B34" s="2">
        <f>250*B31*B32*0.5</f>
        <v>1800</v>
      </c>
      <c r="C34" s="2" t="s">
        <v>201</v>
      </c>
    </row>
    <row r="36" spans="1:7">
      <c r="A36" s="1" t="s">
        <v>60</v>
      </c>
    </row>
    <row r="37" spans="1:7">
      <c r="A37" s="2" t="s">
        <v>190</v>
      </c>
      <c r="B37" s="31">
        <v>0.6</v>
      </c>
      <c r="C37" s="2" t="s">
        <v>191</v>
      </c>
    </row>
    <row r="38" spans="1:7">
      <c r="A38" s="2" t="s">
        <v>169</v>
      </c>
      <c r="B38" s="2">
        <f>70*B31*B37</f>
        <v>1008</v>
      </c>
      <c r="C38" s="2" t="s">
        <v>42</v>
      </c>
    </row>
    <row r="39" spans="1:7">
      <c r="A39" s="2" t="s">
        <v>170</v>
      </c>
      <c r="B39" s="2">
        <f>B31*45*B37</f>
        <v>648</v>
      </c>
      <c r="C39" s="2" t="s">
        <v>43</v>
      </c>
    </row>
    <row r="41" spans="1:7">
      <c r="A41" s="1" t="s">
        <v>173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140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129</v>
      </c>
      <c r="B50" s="2">
        <f>G29+B33+B34+B38+B47</f>
        <v>-14594.06209772888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203</v>
      </c>
      <c r="F51" s="7"/>
    </row>
    <row r="52" spans="1:6">
      <c r="A52" s="24" t="s">
        <v>120</v>
      </c>
      <c r="B52" s="45">
        <f>B50+B51</f>
        <v>-13946.06209772888</v>
      </c>
      <c r="C52" s="24" t="s">
        <v>75</v>
      </c>
      <c r="D52" s="11"/>
      <c r="F52" s="7"/>
    </row>
    <row r="53" spans="1:6">
      <c r="A53" s="2" t="s">
        <v>174</v>
      </c>
      <c r="B53" s="25">
        <f>B52-B47</f>
        <v>-11005.32289772888</v>
      </c>
      <c r="C53" s="2" t="s">
        <v>75</v>
      </c>
      <c r="F53" s="7"/>
    </row>
    <row r="55" spans="1:6">
      <c r="A55" s="1" t="s">
        <v>177</v>
      </c>
    </row>
    <row r="56" spans="1:6">
      <c r="A56" s="2" t="s">
        <v>176</v>
      </c>
      <c r="B56" s="2">
        <v>0.8</v>
      </c>
      <c r="C56" s="23" t="s">
        <v>125</v>
      </c>
    </row>
    <row r="57" spans="1:6">
      <c r="A57" s="2" t="s">
        <v>77</v>
      </c>
      <c r="B57" s="2">
        <v>12</v>
      </c>
      <c r="C57" s="2" t="s">
        <v>123</v>
      </c>
    </row>
    <row r="58" spans="1:6">
      <c r="A58" s="19" t="s">
        <v>127</v>
      </c>
      <c r="B58" s="19">
        <f>-$B$5*(B52/1000)*$B$57/$B$56</f>
        <v>30123.494131094383</v>
      </c>
      <c r="C58" s="19" t="s">
        <v>78</v>
      </c>
    </row>
    <row r="59" spans="1:6">
      <c r="A59" s="2" t="s">
        <v>126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3012.3494131094385</v>
      </c>
      <c r="C60" s="24" t="s">
        <v>81</v>
      </c>
    </row>
    <row r="61" spans="1:6">
      <c r="A61" s="2" t="s">
        <v>85</v>
      </c>
      <c r="B61" s="2">
        <f>-$B$5*((B52-B47)/1000)*$B$57/$B$56*B59</f>
        <v>2377.149745909438</v>
      </c>
      <c r="C61" s="2" t="s">
        <v>81</v>
      </c>
      <c r="D61" s="11">
        <f>B61/B60*100</f>
        <v>78.913479809623809</v>
      </c>
      <c r="E61" s="2" t="s">
        <v>84</v>
      </c>
    </row>
    <row r="62" spans="1:6">
      <c r="A62" s="2" t="s">
        <v>86</v>
      </c>
      <c r="B62" s="2">
        <f>B60-B61</f>
        <v>635.19966720000048</v>
      </c>
      <c r="C62" s="2" t="s">
        <v>81</v>
      </c>
      <c r="D62" s="11">
        <f>B62/B60*100</f>
        <v>21.086520190376191</v>
      </c>
      <c r="E62" s="2" t="s">
        <v>84</v>
      </c>
    </row>
    <row r="64" spans="1:6">
      <c r="A64" s="1" t="s">
        <v>181</v>
      </c>
    </row>
    <row r="65" spans="1:5">
      <c r="A65" s="2" t="s">
        <v>89</v>
      </c>
      <c r="B65" s="2">
        <v>6</v>
      </c>
    </row>
    <row r="66" spans="1:5">
      <c r="A66" s="2" t="s">
        <v>87</v>
      </c>
      <c r="B66" s="2">
        <v>0.9</v>
      </c>
    </row>
    <row r="67" spans="1:5">
      <c r="A67" s="2" t="s">
        <v>134</v>
      </c>
      <c r="B67" s="2">
        <f>-B52/1000/B65</f>
        <v>2.3243436829548134</v>
      </c>
      <c r="C67" s="2" t="s">
        <v>135</v>
      </c>
      <c r="D67" s="11">
        <f>B67*3.4*1000</f>
        <v>7902.7685220463654</v>
      </c>
      <c r="E67" s="2" t="s">
        <v>137</v>
      </c>
    </row>
    <row r="68" spans="1:5">
      <c r="A68" s="2" t="s">
        <v>128</v>
      </c>
      <c r="B68" s="2">
        <f>B58/B65/B66</f>
        <v>5578.4248390915518</v>
      </c>
      <c r="C68" s="2" t="s">
        <v>78</v>
      </c>
    </row>
    <row r="69" spans="1:5">
      <c r="A69" s="2" t="s">
        <v>90</v>
      </c>
      <c r="B69" s="2">
        <v>0.22</v>
      </c>
      <c r="C69" s="2" t="s">
        <v>79</v>
      </c>
    </row>
    <row r="70" spans="1:5">
      <c r="A70" s="24" t="s">
        <v>91</v>
      </c>
      <c r="B70" s="24">
        <f>B68*B69</f>
        <v>1227.2534646001413</v>
      </c>
      <c r="C70" s="24" t="s">
        <v>81</v>
      </c>
    </row>
    <row r="72" spans="1:5">
      <c r="A72" s="21" t="s">
        <v>92</v>
      </c>
      <c r="B72" s="21">
        <f>B60-B70</f>
        <v>1785.0959485092972</v>
      </c>
      <c r="C72" s="21" t="s">
        <v>81</v>
      </c>
    </row>
    <row r="74" spans="1:5">
      <c r="A74" s="1" t="s">
        <v>218</v>
      </c>
    </row>
    <row r="75" spans="1:5">
      <c r="A75" s="2" t="s">
        <v>142</v>
      </c>
      <c r="B75" s="2">
        <v>2500</v>
      </c>
      <c r="C75" s="2" t="s">
        <v>145</v>
      </c>
    </row>
    <row r="76" spans="1:5">
      <c r="A76" s="28" t="s">
        <v>144</v>
      </c>
      <c r="B76" s="2">
        <f>SUM(B75:B75)</f>
        <v>2500</v>
      </c>
      <c r="C76" s="2" t="s">
        <v>145</v>
      </c>
    </row>
    <row r="78" spans="1:5">
      <c r="A78" s="21" t="s">
        <v>146</v>
      </c>
      <c r="B78" s="29">
        <f>B76/B72</f>
        <v>1.4004849442898053</v>
      </c>
      <c r="C78" s="24" t="s">
        <v>147</v>
      </c>
    </row>
    <row r="80" spans="1:5">
      <c r="A80" s="30" t="s">
        <v>148</v>
      </c>
      <c r="B80" s="16" t="s">
        <v>153</v>
      </c>
      <c r="C80" s="16" t="s">
        <v>151</v>
      </c>
      <c r="D80" s="16" t="s">
        <v>152</v>
      </c>
      <c r="E80" s="16" t="s">
        <v>149</v>
      </c>
    </row>
    <row r="81" spans="1:8">
      <c r="A81" s="3">
        <v>0</v>
      </c>
      <c r="B81" s="3">
        <f>-$B$76</f>
        <v>-2500</v>
      </c>
      <c r="C81" s="3"/>
      <c r="D81" s="20"/>
      <c r="E81" s="20">
        <f>B81</f>
        <v>-2500</v>
      </c>
    </row>
    <row r="82" spans="1:8">
      <c r="A82" s="3">
        <v>1</v>
      </c>
      <c r="B82" s="3"/>
      <c r="C82" s="20">
        <f>-PDC!$B$60</f>
        <v>-3012.3494131094385</v>
      </c>
      <c r="D82" s="20">
        <f>-$B$70+B82</f>
        <v>-1227.2534646001413</v>
      </c>
      <c r="E82" s="20">
        <f>D82-C82</f>
        <v>1785.0959485092972</v>
      </c>
      <c r="F82" s="27" t="s">
        <v>162</v>
      </c>
      <c r="G82" s="27"/>
      <c r="H82" s="27"/>
    </row>
    <row r="83" spans="1:8">
      <c r="A83" s="3">
        <v>2</v>
      </c>
      <c r="B83" s="3"/>
      <c r="C83" s="20">
        <f>-PDC!$B$60</f>
        <v>-3012.3494131094385</v>
      </c>
      <c r="D83" s="20">
        <f t="shared" ref="D83:D91" si="2">-$B$70+B83</f>
        <v>-1227.2534646001413</v>
      </c>
      <c r="E83" s="20">
        <f>D83-C83</f>
        <v>1785.0959485092972</v>
      </c>
      <c r="F83" s="27" t="s">
        <v>163</v>
      </c>
    </row>
    <row r="84" spans="1:8">
      <c r="A84" s="3">
        <v>3</v>
      </c>
      <c r="B84" s="3"/>
      <c r="C84" s="20">
        <f>-PDC!$B$60</f>
        <v>-3012.3494131094385</v>
      </c>
      <c r="D84" s="20">
        <f t="shared" si="2"/>
        <v>-1227.2534646001413</v>
      </c>
      <c r="E84" s="20">
        <f t="shared" ref="E84:E91" si="3">D84-C84</f>
        <v>1785.0959485092972</v>
      </c>
    </row>
    <row r="85" spans="1:8">
      <c r="A85" s="3">
        <v>4</v>
      </c>
      <c r="B85" s="3"/>
      <c r="C85" s="20">
        <f>-PDC!$B$60</f>
        <v>-3012.3494131094385</v>
      </c>
      <c r="D85" s="20">
        <f t="shared" si="2"/>
        <v>-1227.2534646001413</v>
      </c>
      <c r="E85" s="20">
        <f t="shared" si="3"/>
        <v>1785.0959485092972</v>
      </c>
    </row>
    <row r="86" spans="1:8">
      <c r="A86" s="3">
        <v>5</v>
      </c>
      <c r="B86" s="3"/>
      <c r="C86" s="20">
        <f>-PDC!$B$60</f>
        <v>-3012.3494131094385</v>
      </c>
      <c r="D86" s="20">
        <f t="shared" si="2"/>
        <v>-1227.2534646001413</v>
      </c>
      <c r="E86" s="20">
        <f t="shared" si="3"/>
        <v>1785.0959485092972</v>
      </c>
    </row>
    <row r="87" spans="1:8">
      <c r="A87" s="3">
        <v>6</v>
      </c>
      <c r="B87" s="3"/>
      <c r="C87" s="20">
        <f>-PDC!$B$60</f>
        <v>-3012.3494131094385</v>
      </c>
      <c r="D87" s="20">
        <f t="shared" si="2"/>
        <v>-1227.2534646001413</v>
      </c>
      <c r="E87" s="20">
        <f t="shared" si="3"/>
        <v>1785.0959485092972</v>
      </c>
    </row>
    <row r="88" spans="1:8">
      <c r="A88" s="3">
        <v>7</v>
      </c>
      <c r="B88" s="3"/>
      <c r="C88" s="20">
        <f>-PDC!$B$60</f>
        <v>-3012.3494131094385</v>
      </c>
      <c r="D88" s="20">
        <f t="shared" si="2"/>
        <v>-1227.2534646001413</v>
      </c>
      <c r="E88" s="20">
        <f t="shared" si="3"/>
        <v>1785.0959485092972</v>
      </c>
    </row>
    <row r="89" spans="1:8">
      <c r="A89" s="3">
        <v>8</v>
      </c>
      <c r="B89" s="3"/>
      <c r="C89" s="20">
        <f>-PDC!$B$60</f>
        <v>-3012.3494131094385</v>
      </c>
      <c r="D89" s="20">
        <f t="shared" si="2"/>
        <v>-1227.2534646001413</v>
      </c>
      <c r="E89" s="20">
        <f t="shared" si="3"/>
        <v>1785.0959485092972</v>
      </c>
    </row>
    <row r="90" spans="1:8">
      <c r="A90" s="3">
        <v>9</v>
      </c>
      <c r="B90" s="3"/>
      <c r="C90" s="20">
        <f>-PDC!$B$60</f>
        <v>-3012.3494131094385</v>
      </c>
      <c r="D90" s="20">
        <f t="shared" si="2"/>
        <v>-1227.2534646001413</v>
      </c>
      <c r="E90" s="20">
        <f t="shared" si="3"/>
        <v>1785.0959485092972</v>
      </c>
    </row>
    <row r="91" spans="1:8">
      <c r="A91" s="3">
        <v>10</v>
      </c>
      <c r="B91" s="3"/>
      <c r="C91" s="20">
        <f>-PDC!$B$60</f>
        <v>-3012.3494131094385</v>
      </c>
      <c r="D91" s="20">
        <f t="shared" si="2"/>
        <v>-1227.2534646001413</v>
      </c>
      <c r="E91" s="20">
        <f t="shared" si="3"/>
        <v>1785.0959485092972</v>
      </c>
    </row>
    <row r="92" spans="1:8">
      <c r="A92" s="3"/>
      <c r="B92" s="3"/>
      <c r="C92" s="20">
        <f>SUM(C82:C91)</f>
        <v>-30123.49413109438</v>
      </c>
      <c r="D92" s="20">
        <f>SUM(D81:D91)</f>
        <v>-12272.534646001412</v>
      </c>
      <c r="E92" s="20">
        <f>SUM(E81:E91)</f>
        <v>15350.959485092972</v>
      </c>
    </row>
    <row r="93" spans="1:8">
      <c r="A93" s="2" t="s">
        <v>150</v>
      </c>
      <c r="B93" s="25">
        <f>E92</f>
        <v>15350.959485092972</v>
      </c>
      <c r="C93" s="2" t="s">
        <v>145</v>
      </c>
    </row>
    <row r="94" spans="1:8">
      <c r="B94" s="25"/>
    </row>
    <row r="95" spans="1:8">
      <c r="A95" s="1" t="s">
        <v>161</v>
      </c>
      <c r="B95" s="25"/>
    </row>
    <row r="96" spans="1:8">
      <c r="A96" s="2" t="s">
        <v>156</v>
      </c>
      <c r="B96" s="25">
        <f>B58-B68</f>
        <v>24545.06929200283</v>
      </c>
      <c r="C96" s="2" t="s">
        <v>78</v>
      </c>
    </row>
    <row r="97" spans="1:7">
      <c r="A97" s="2" t="s">
        <v>184</v>
      </c>
      <c r="B97" s="2">
        <v>11630</v>
      </c>
      <c r="C97" s="2" t="s">
        <v>78</v>
      </c>
    </row>
    <row r="98" spans="1:7">
      <c r="A98" s="2" t="s">
        <v>154</v>
      </c>
      <c r="B98" s="11">
        <f>B96/B97</f>
        <v>2.1104960698196757</v>
      </c>
      <c r="C98" s="11">
        <f>B98/0.82*1000</f>
        <v>2573.7756949020441</v>
      </c>
      <c r="D98" s="2" t="s">
        <v>155</v>
      </c>
      <c r="G98"/>
    </row>
    <row r="99" spans="1:7">
      <c r="B99" s="11"/>
      <c r="C99" s="11"/>
    </row>
    <row r="100" spans="1:7">
      <c r="A100" s="2" t="s">
        <v>159</v>
      </c>
      <c r="B100" s="2">
        <v>0.255</v>
      </c>
      <c r="C100" s="2" t="s">
        <v>157</v>
      </c>
    </row>
    <row r="101" spans="1:7">
      <c r="A101" s="2" t="s">
        <v>158</v>
      </c>
      <c r="B101" s="7">
        <f>B100*B96/1000</f>
        <v>6.2589926694607216</v>
      </c>
      <c r="C101" s="2" t="s">
        <v>160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04"/>
  <sheetViews>
    <sheetView topLeftCell="A49" zoomScaleNormal="100" workbookViewId="0">
      <selection activeCell="B9" sqref="B9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167</v>
      </c>
    </row>
    <row r="2" spans="1:18">
      <c r="A2" s="2" t="s">
        <v>47</v>
      </c>
      <c r="B2" s="2" t="s">
        <v>48</v>
      </c>
    </row>
    <row r="3" spans="1:18">
      <c r="A3" s="2" t="s">
        <v>187</v>
      </c>
      <c r="B3" s="2">
        <v>2340</v>
      </c>
      <c r="C3" s="2" t="s">
        <v>188</v>
      </c>
    </row>
    <row r="4" spans="1:18">
      <c r="A4" s="2" t="s">
        <v>189</v>
      </c>
      <c r="B4" s="2" t="s">
        <v>199</v>
      </c>
    </row>
    <row r="5" spans="1:18">
      <c r="A5" s="2" t="s">
        <v>49</v>
      </c>
      <c r="B5" s="2">
        <f>183-6*4-15</f>
        <v>144</v>
      </c>
      <c r="C5" s="2" t="s">
        <v>200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192</v>
      </c>
      <c r="G11" s="1" t="s">
        <v>193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138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198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194</v>
      </c>
      <c r="B23" s="14">
        <f>E13</f>
        <v>41.875</v>
      </c>
      <c r="C23" s="3">
        <f>20-$B$7</f>
        <v>14.5</v>
      </c>
      <c r="D23" s="14">
        <f>Trasmittanze!F10</f>
        <v>0.72649572649572647</v>
      </c>
      <c r="E23" s="3">
        <v>1.3</v>
      </c>
      <c r="F23" s="3">
        <v>1.2</v>
      </c>
      <c r="G23" s="20">
        <f t="shared" si="0"/>
        <v>688.14583333333326</v>
      </c>
    </row>
    <row r="24" spans="1:18">
      <c r="A24" s="3" t="s">
        <v>195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196</v>
      </c>
      <c r="B25" s="3">
        <f>H13</f>
        <v>4.2</v>
      </c>
      <c r="C25" s="3">
        <f t="shared" si="1"/>
        <v>14.5</v>
      </c>
      <c r="D25" s="14">
        <f>Trasmittanze!F10</f>
        <v>0.72649572649572647</v>
      </c>
      <c r="E25" s="3">
        <v>1.3</v>
      </c>
      <c r="F25" s="3">
        <v>1</v>
      </c>
      <c r="G25" s="20">
        <f t="shared" si="0"/>
        <v>57.516666666666673</v>
      </c>
    </row>
    <row r="26" spans="1:18">
      <c r="A26" s="3" t="s">
        <v>197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-14881.32289772888</v>
      </c>
      <c r="H29" s="2" t="s">
        <v>39</v>
      </c>
    </row>
    <row r="30" spans="1:18">
      <c r="A30" s="1" t="s">
        <v>172</v>
      </c>
    </row>
    <row r="31" spans="1:18">
      <c r="A31" s="2" t="s">
        <v>41</v>
      </c>
      <c r="B31" s="2">
        <v>24</v>
      </c>
      <c r="C31" s="23" t="s">
        <v>185</v>
      </c>
    </row>
    <row r="32" spans="1:18">
      <c r="A32" s="2" t="s">
        <v>190</v>
      </c>
      <c r="B32" s="31">
        <v>0.6</v>
      </c>
      <c r="C32" s="2" t="s">
        <v>191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202</v>
      </c>
      <c r="B34" s="2">
        <f>250*B31*B32*0.5</f>
        <v>1800</v>
      </c>
      <c r="C34" s="2" t="s">
        <v>201</v>
      </c>
    </row>
    <row r="36" spans="1:7">
      <c r="A36" s="1" t="s">
        <v>60</v>
      </c>
    </row>
    <row r="37" spans="1:7">
      <c r="A37" s="2" t="s">
        <v>190</v>
      </c>
      <c r="B37" s="31">
        <v>0.6</v>
      </c>
      <c r="C37" s="2" t="s">
        <v>191</v>
      </c>
    </row>
    <row r="38" spans="1:7">
      <c r="A38" s="2" t="s">
        <v>169</v>
      </c>
      <c r="B38" s="2">
        <f>70*B31*B37</f>
        <v>1008</v>
      </c>
      <c r="C38" s="2" t="s">
        <v>42</v>
      </c>
    </row>
    <row r="39" spans="1:7">
      <c r="A39" s="2" t="s">
        <v>170</v>
      </c>
      <c r="B39" s="2">
        <f>B31*45*B37</f>
        <v>648</v>
      </c>
      <c r="C39" s="2" t="s">
        <v>43</v>
      </c>
    </row>
    <row r="41" spans="1:7">
      <c r="A41" s="1" t="s">
        <v>173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140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129</v>
      </c>
      <c r="B50" s="2">
        <f>G29+B33+B34+B38+B47</f>
        <v>-14594.06209772888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203</v>
      </c>
      <c r="F51" s="7"/>
    </row>
    <row r="52" spans="1:6">
      <c r="A52" s="24" t="s">
        <v>120</v>
      </c>
      <c r="B52" s="45">
        <f>B50+B51</f>
        <v>-13946.06209772888</v>
      </c>
      <c r="C52" s="24" t="s">
        <v>75</v>
      </c>
      <c r="D52" s="11"/>
      <c r="F52" s="7"/>
    </row>
    <row r="53" spans="1:6">
      <c r="A53" s="2" t="s">
        <v>174</v>
      </c>
      <c r="B53" s="25">
        <f>B52-B47</f>
        <v>-11005.32289772888</v>
      </c>
      <c r="C53" s="2" t="s">
        <v>75</v>
      </c>
      <c r="F53" s="7"/>
    </row>
    <row r="55" spans="1:6">
      <c r="A55" s="1" t="s">
        <v>177</v>
      </c>
    </row>
    <row r="56" spans="1:6">
      <c r="A56" s="2" t="s">
        <v>176</v>
      </c>
      <c r="B56" s="2">
        <v>0.8</v>
      </c>
      <c r="C56" s="23" t="s">
        <v>125</v>
      </c>
    </row>
    <row r="57" spans="1:6">
      <c r="A57" s="2" t="s">
        <v>77</v>
      </c>
      <c r="B57" s="2">
        <v>12</v>
      </c>
      <c r="C57" s="2" t="s">
        <v>123</v>
      </c>
    </row>
    <row r="58" spans="1:6">
      <c r="A58" s="19" t="s">
        <v>127</v>
      </c>
      <c r="B58" s="19">
        <f>-$B$5*(B52/1000)*$B$57/$B$56</f>
        <v>30123.494131094383</v>
      </c>
      <c r="C58" s="19" t="s">
        <v>78</v>
      </c>
    </row>
    <row r="59" spans="1:6">
      <c r="A59" s="2" t="s">
        <v>126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3012.3494131094385</v>
      </c>
      <c r="C60" s="24" t="s">
        <v>81</v>
      </c>
    </row>
    <row r="61" spans="1:6">
      <c r="A61" s="2" t="s">
        <v>85</v>
      </c>
      <c r="B61" s="2">
        <f>-$B$5*((B52-B47)/1000)*$B$57/$B$56*B59</f>
        <v>2377.149745909438</v>
      </c>
      <c r="C61" s="2" t="s">
        <v>81</v>
      </c>
      <c r="D61" s="11">
        <f>B61/B60*100</f>
        <v>78.913479809623809</v>
      </c>
      <c r="E61" s="2" t="s">
        <v>84</v>
      </c>
    </row>
    <row r="62" spans="1:6">
      <c r="A62" s="2" t="s">
        <v>86</v>
      </c>
      <c r="B62" s="2">
        <f>B60-B61</f>
        <v>635.19966720000048</v>
      </c>
      <c r="C62" s="2" t="s">
        <v>81</v>
      </c>
      <c r="D62" s="11">
        <f>B62/B60*100</f>
        <v>21.086520190376191</v>
      </c>
      <c r="E62" s="2" t="s">
        <v>84</v>
      </c>
    </row>
    <row r="64" spans="1:6">
      <c r="A64" s="1" t="s">
        <v>182</v>
      </c>
    </row>
    <row r="65" spans="1:3">
      <c r="A65" s="2" t="s">
        <v>175</v>
      </c>
      <c r="B65" s="2">
        <f>(1-0.9)*B47</f>
        <v>-294.07391999999993</v>
      </c>
      <c r="C65" s="2" t="s">
        <v>75</v>
      </c>
    </row>
    <row r="66" spans="1:3">
      <c r="A66" s="2" t="s">
        <v>164</v>
      </c>
      <c r="B66" s="2">
        <f>B5*B57*0.25</f>
        <v>432</v>
      </c>
      <c r="C66" s="2" t="s">
        <v>166</v>
      </c>
    </row>
    <row r="67" spans="1:3">
      <c r="A67" s="2" t="s">
        <v>165</v>
      </c>
      <c r="B67" s="2">
        <f>B66*B72</f>
        <v>43.2</v>
      </c>
      <c r="C67" s="2" t="s">
        <v>81</v>
      </c>
    </row>
    <row r="68" spans="1:3">
      <c r="A68" s="1"/>
    </row>
    <row r="69" spans="1:3">
      <c r="A69" s="1" t="s">
        <v>216</v>
      </c>
    </row>
    <row r="70" spans="1:3">
      <c r="A70" s="24" t="s">
        <v>215</v>
      </c>
      <c r="B70" s="45">
        <f>B65+B53</f>
        <v>-11299.396817728881</v>
      </c>
      <c r="C70" s="24" t="s">
        <v>75</v>
      </c>
    </row>
    <row r="71" spans="1:3">
      <c r="A71" s="2" t="s">
        <v>186</v>
      </c>
      <c r="B71" s="2">
        <f>-$B$5*(B70/1000)*$B$57</f>
        <v>19525.357701035504</v>
      </c>
      <c r="C71" s="2" t="s">
        <v>78</v>
      </c>
    </row>
    <row r="72" spans="1:3">
      <c r="A72" s="2" t="s">
        <v>217</v>
      </c>
      <c r="B72" s="2">
        <v>0.1</v>
      </c>
      <c r="C72" s="2" t="s">
        <v>79</v>
      </c>
    </row>
    <row r="73" spans="1:3">
      <c r="A73" s="24" t="s">
        <v>91</v>
      </c>
      <c r="B73" s="24">
        <f>B71*B72</f>
        <v>1952.5357701035505</v>
      </c>
      <c r="C73" s="24" t="s">
        <v>81</v>
      </c>
    </row>
    <row r="75" spans="1:3">
      <c r="A75" s="21" t="s">
        <v>92</v>
      </c>
      <c r="B75" s="21">
        <f>B60-B73</f>
        <v>1059.813643005888</v>
      </c>
      <c r="C75" s="21" t="s">
        <v>81</v>
      </c>
    </row>
    <row r="77" spans="1:3">
      <c r="A77" s="1" t="s">
        <v>219</v>
      </c>
    </row>
    <row r="78" spans="1:3">
      <c r="A78" s="2" t="s">
        <v>143</v>
      </c>
      <c r="B78" s="2">
        <v>5000</v>
      </c>
      <c r="C78" s="2" t="s">
        <v>145</v>
      </c>
    </row>
    <row r="79" spans="1:3">
      <c r="A79" s="28" t="s">
        <v>144</v>
      </c>
      <c r="B79" s="2">
        <f>SUM(B78:B78)</f>
        <v>5000</v>
      </c>
      <c r="C79" s="2" t="s">
        <v>145</v>
      </c>
    </row>
    <row r="81" spans="1:8">
      <c r="A81" s="21" t="s">
        <v>146</v>
      </c>
      <c r="B81" s="29">
        <f>B79/B75</f>
        <v>4.7178105632031588</v>
      </c>
      <c r="C81" s="24" t="s">
        <v>147</v>
      </c>
    </row>
    <row r="83" spans="1:8">
      <c r="A83" s="30" t="s">
        <v>148</v>
      </c>
      <c r="B83" s="16" t="s">
        <v>153</v>
      </c>
      <c r="C83" s="16" t="s">
        <v>151</v>
      </c>
      <c r="D83" s="16" t="s">
        <v>152</v>
      </c>
      <c r="E83" s="16" t="s">
        <v>149</v>
      </c>
    </row>
    <row r="84" spans="1:8">
      <c r="A84" s="3">
        <v>0</v>
      </c>
      <c r="B84" s="3">
        <f>-$B$79</f>
        <v>-5000</v>
      </c>
      <c r="C84" s="3"/>
      <c r="D84" s="20"/>
      <c r="E84" s="20">
        <f>B84</f>
        <v>-5000</v>
      </c>
    </row>
    <row r="85" spans="1:8">
      <c r="A85" s="3">
        <v>1</v>
      </c>
      <c r="B85" s="3">
        <f t="shared" ref="B85:B94" si="2">-$B$67</f>
        <v>-43.2</v>
      </c>
      <c r="C85" s="20">
        <f>-VMC!$B$60</f>
        <v>-3012.3494131094385</v>
      </c>
      <c r="D85" s="20">
        <f>-$B$73+B85</f>
        <v>-1995.7357701035505</v>
      </c>
      <c r="E85" s="20">
        <f>D85-C85</f>
        <v>1016.613643005888</v>
      </c>
      <c r="F85" s="27" t="s">
        <v>162</v>
      </c>
      <c r="G85" s="27"/>
      <c r="H85" s="27"/>
    </row>
    <row r="86" spans="1:8">
      <c r="A86" s="3">
        <v>2</v>
      </c>
      <c r="B86" s="3">
        <f t="shared" si="2"/>
        <v>-43.2</v>
      </c>
      <c r="C86" s="20">
        <f>-VMC!$B$60</f>
        <v>-3012.3494131094385</v>
      </c>
      <c r="D86" s="20">
        <f t="shared" ref="D86:D94" si="3">-$B$73+B86</f>
        <v>-1995.7357701035505</v>
      </c>
      <c r="E86" s="20">
        <f>D86-C86</f>
        <v>1016.613643005888</v>
      </c>
      <c r="F86" s="27" t="s">
        <v>163</v>
      </c>
    </row>
    <row r="87" spans="1:8">
      <c r="A87" s="3">
        <v>3</v>
      </c>
      <c r="B87" s="3">
        <f t="shared" si="2"/>
        <v>-43.2</v>
      </c>
      <c r="C87" s="20">
        <f>-VMC!$B$60</f>
        <v>-3012.3494131094385</v>
      </c>
      <c r="D87" s="20">
        <f t="shared" si="3"/>
        <v>-1995.7357701035505</v>
      </c>
      <c r="E87" s="20">
        <f t="shared" ref="E87:E94" si="4">D87-C87</f>
        <v>1016.613643005888</v>
      </c>
    </row>
    <row r="88" spans="1:8">
      <c r="A88" s="3">
        <v>4</v>
      </c>
      <c r="B88" s="3">
        <f t="shared" si="2"/>
        <v>-43.2</v>
      </c>
      <c r="C88" s="20">
        <f>-VMC!$B$60</f>
        <v>-3012.3494131094385</v>
      </c>
      <c r="D88" s="20">
        <f t="shared" si="3"/>
        <v>-1995.7357701035505</v>
      </c>
      <c r="E88" s="20">
        <f t="shared" si="4"/>
        <v>1016.613643005888</v>
      </c>
    </row>
    <row r="89" spans="1:8">
      <c r="A89" s="3">
        <v>5</v>
      </c>
      <c r="B89" s="3">
        <f t="shared" si="2"/>
        <v>-43.2</v>
      </c>
      <c r="C89" s="20">
        <f>-VMC!$B$60</f>
        <v>-3012.3494131094385</v>
      </c>
      <c r="D89" s="20">
        <f t="shared" si="3"/>
        <v>-1995.7357701035505</v>
      </c>
      <c r="E89" s="20">
        <f t="shared" si="4"/>
        <v>1016.613643005888</v>
      </c>
    </row>
    <row r="90" spans="1:8">
      <c r="A90" s="3">
        <v>6</v>
      </c>
      <c r="B90" s="3">
        <f t="shared" si="2"/>
        <v>-43.2</v>
      </c>
      <c r="C90" s="20">
        <f>-VMC!$B$60</f>
        <v>-3012.3494131094385</v>
      </c>
      <c r="D90" s="20">
        <f t="shared" si="3"/>
        <v>-1995.7357701035505</v>
      </c>
      <c r="E90" s="20">
        <f t="shared" si="4"/>
        <v>1016.613643005888</v>
      </c>
    </row>
    <row r="91" spans="1:8">
      <c r="A91" s="3">
        <v>7</v>
      </c>
      <c r="B91" s="3">
        <f t="shared" si="2"/>
        <v>-43.2</v>
      </c>
      <c r="C91" s="20">
        <f>-VMC!$B$60</f>
        <v>-3012.3494131094385</v>
      </c>
      <c r="D91" s="20">
        <f t="shared" si="3"/>
        <v>-1995.7357701035505</v>
      </c>
      <c r="E91" s="20">
        <f t="shared" si="4"/>
        <v>1016.613643005888</v>
      </c>
    </row>
    <row r="92" spans="1:8">
      <c r="A92" s="3">
        <v>8</v>
      </c>
      <c r="B92" s="3">
        <f t="shared" si="2"/>
        <v>-43.2</v>
      </c>
      <c r="C92" s="20">
        <f>-VMC!$B$60</f>
        <v>-3012.3494131094385</v>
      </c>
      <c r="D92" s="20">
        <f t="shared" si="3"/>
        <v>-1995.7357701035505</v>
      </c>
      <c r="E92" s="20">
        <f t="shared" si="4"/>
        <v>1016.613643005888</v>
      </c>
    </row>
    <row r="93" spans="1:8">
      <c r="A93" s="3">
        <v>9</v>
      </c>
      <c r="B93" s="3">
        <f t="shared" si="2"/>
        <v>-43.2</v>
      </c>
      <c r="C93" s="20">
        <f>-VMC!$B$60</f>
        <v>-3012.3494131094385</v>
      </c>
      <c r="D93" s="20">
        <f t="shared" si="3"/>
        <v>-1995.7357701035505</v>
      </c>
      <c r="E93" s="20">
        <f t="shared" si="4"/>
        <v>1016.613643005888</v>
      </c>
    </row>
    <row r="94" spans="1:8">
      <c r="A94" s="3">
        <v>10</v>
      </c>
      <c r="B94" s="3">
        <f t="shared" si="2"/>
        <v>-43.2</v>
      </c>
      <c r="C94" s="20">
        <f>-VMC!$B$60</f>
        <v>-3012.3494131094385</v>
      </c>
      <c r="D94" s="20">
        <f t="shared" si="3"/>
        <v>-1995.7357701035505</v>
      </c>
      <c r="E94" s="20">
        <f t="shared" si="4"/>
        <v>1016.613643005888</v>
      </c>
    </row>
    <row r="95" spans="1:8">
      <c r="A95" s="3"/>
      <c r="B95" s="3">
        <f>SUM(B84:B94)</f>
        <v>-5431.9999999999982</v>
      </c>
      <c r="C95" s="20">
        <f>SUM(C85:C94)</f>
        <v>-30123.49413109438</v>
      </c>
      <c r="D95" s="20">
        <f>SUM(D84:D94)</f>
        <v>-19957.357701035504</v>
      </c>
      <c r="E95" s="20">
        <f>SUM(E84:E94)</f>
        <v>5166.1364300588784</v>
      </c>
    </row>
    <row r="96" spans="1:8">
      <c r="A96" s="2" t="s">
        <v>150</v>
      </c>
      <c r="B96" s="25">
        <f>E95</f>
        <v>5166.1364300588784</v>
      </c>
      <c r="C96" s="2" t="s">
        <v>145</v>
      </c>
    </row>
    <row r="97" spans="1:7">
      <c r="B97" s="25"/>
    </row>
    <row r="98" spans="1:7">
      <c r="A98" s="1" t="s">
        <v>161</v>
      </c>
      <c r="B98" s="25"/>
    </row>
    <row r="99" spans="1:7">
      <c r="A99" s="2" t="s">
        <v>156</v>
      </c>
      <c r="B99" s="25" t="e">
        <f>B58-#REF!</f>
        <v>#REF!</v>
      </c>
      <c r="C99" s="2" t="s">
        <v>78</v>
      </c>
    </row>
    <row r="100" spans="1:7">
      <c r="A100" s="2" t="s">
        <v>184</v>
      </c>
      <c r="B100" s="2">
        <v>11630</v>
      </c>
      <c r="C100" s="2" t="s">
        <v>78</v>
      </c>
    </row>
    <row r="101" spans="1:7">
      <c r="A101" s="2" t="s">
        <v>154</v>
      </c>
      <c r="B101" s="11" t="e">
        <f>B99/B100</f>
        <v>#REF!</v>
      </c>
      <c r="C101" s="11" t="e">
        <f>B101/0.82*1000</f>
        <v>#REF!</v>
      </c>
      <c r="D101" s="2" t="s">
        <v>155</v>
      </c>
      <c r="G101"/>
    </row>
    <row r="102" spans="1:7">
      <c r="B102" s="11"/>
      <c r="C102" s="11"/>
    </row>
    <row r="103" spans="1:7">
      <c r="A103" s="2" t="s">
        <v>159</v>
      </c>
      <c r="B103" s="2">
        <v>0.255</v>
      </c>
      <c r="C103" s="2" t="s">
        <v>157</v>
      </c>
    </row>
    <row r="104" spans="1:7">
      <c r="A104" s="2" t="s">
        <v>158</v>
      </c>
      <c r="B104" s="7" t="e">
        <f>B103*B99/1000</f>
        <v>#REF!</v>
      </c>
      <c r="C104" s="2" t="s">
        <v>160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MAX.</vt:lpstr>
      <vt:lpstr>Controsoff. (2)</vt:lpstr>
      <vt:lpstr>Controsoff.</vt:lpstr>
      <vt:lpstr>VMC+Controsoff.</vt:lpstr>
      <vt:lpstr>PDC+VMC+Controsoff.</vt:lpstr>
      <vt:lpstr>PDC+VMC+Controsof.</vt:lpstr>
      <vt:lpstr>CAPPOTTO</vt:lpstr>
      <vt:lpstr>PDC</vt:lpstr>
      <vt:lpstr>VMC</vt:lpstr>
      <vt:lpstr>PDC+VMC</vt:lpstr>
      <vt:lpstr>Trasmittanze</vt:lpstr>
      <vt:lpstr>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2020-12-22T08:27:08Z</cp:lastPrinted>
  <dcterms:created xsi:type="dcterms:W3CDTF">2020-11-24T11:01:20Z</dcterms:created>
  <dcterms:modified xsi:type="dcterms:W3CDTF">2021-02-18T12:27:44Z</dcterms:modified>
</cp:coreProperties>
</file>